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gif" ContentType="image/gi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codeName="ThisWorkbook" autoCompressPictures="0"/>
  <bookViews>
    <workbookView xWindow="0" yWindow="0" windowWidth="28800" windowHeight="1736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155" i="1" l="1"/>
  <c r="M151" i="1"/>
  <c r="M153" i="1"/>
  <c r="L151" i="1"/>
  <c r="L153" i="1"/>
  <c r="K151" i="1"/>
  <c r="K153" i="1"/>
  <c r="J153" i="1"/>
  <c r="I153" i="1"/>
  <c r="J151" i="1"/>
  <c r="J144" i="1"/>
  <c r="L141" i="1"/>
  <c r="J141" i="1"/>
  <c r="L144" i="1"/>
  <c r="L143" i="1"/>
  <c r="K141" i="1"/>
  <c r="K144" i="1"/>
  <c r="K143" i="1"/>
  <c r="M99" i="1"/>
  <c r="N99" i="1"/>
  <c r="M102" i="1"/>
  <c r="N102" i="1"/>
  <c r="D122" i="1"/>
  <c r="D123" i="1"/>
  <c r="D124" i="1"/>
  <c r="O4" i="1"/>
  <c r="N8" i="1"/>
  <c r="M8" i="1"/>
  <c r="M9" i="1"/>
  <c r="N9" i="1"/>
  <c r="N7" i="1"/>
  <c r="O7" i="1"/>
  <c r="E65" i="1"/>
  <c r="E58" i="1"/>
  <c r="L134" i="1"/>
  <c r="J134" i="1"/>
  <c r="J135" i="1"/>
  <c r="J136" i="1"/>
  <c r="H141" i="1"/>
  <c r="I141" i="1"/>
  <c r="G141" i="1"/>
  <c r="G142" i="1"/>
  <c r="F141" i="1"/>
  <c r="F142" i="1"/>
  <c r="E141" i="1"/>
  <c r="E142" i="1"/>
  <c r="D141" i="1"/>
  <c r="D142" i="1"/>
  <c r="C141" i="1"/>
  <c r="C142" i="1"/>
  <c r="B141" i="1"/>
  <c r="B142" i="1"/>
  <c r="D148" i="1"/>
  <c r="B148" i="1"/>
  <c r="B149" i="1"/>
  <c r="E148" i="1"/>
  <c r="F148" i="1"/>
  <c r="D149" i="1"/>
  <c r="C148" i="1"/>
  <c r="C149" i="1"/>
  <c r="C150" i="1"/>
  <c r="B150" i="1"/>
  <c r="M134" i="1"/>
  <c r="N134" i="1"/>
  <c r="L135" i="1"/>
  <c r="G143" i="1"/>
  <c r="F143" i="1"/>
  <c r="E143" i="1"/>
  <c r="D143" i="1"/>
  <c r="C143" i="1"/>
  <c r="B143" i="1"/>
  <c r="L136" i="1"/>
  <c r="K134" i="1"/>
  <c r="K135" i="1"/>
  <c r="K136" i="1"/>
  <c r="I134" i="1"/>
  <c r="I135" i="1"/>
  <c r="I136" i="1"/>
  <c r="H134" i="1"/>
  <c r="H135" i="1"/>
  <c r="H136" i="1"/>
  <c r="G134" i="1"/>
  <c r="G135" i="1"/>
  <c r="G136" i="1"/>
  <c r="F134" i="1"/>
  <c r="F135" i="1"/>
  <c r="F136" i="1"/>
  <c r="E134" i="1"/>
  <c r="E135" i="1"/>
  <c r="E136" i="1"/>
  <c r="D134" i="1"/>
  <c r="D135" i="1"/>
  <c r="D136" i="1"/>
  <c r="C134" i="1"/>
  <c r="C135" i="1"/>
  <c r="C136" i="1"/>
  <c r="B134" i="1"/>
  <c r="B135" i="1"/>
  <c r="B136" i="1"/>
  <c r="C36" i="1"/>
  <c r="K21" i="1"/>
  <c r="K22" i="1"/>
  <c r="K23" i="1"/>
  <c r="K25" i="1"/>
  <c r="J19" i="1"/>
  <c r="K24" i="1"/>
  <c r="I19" i="1"/>
  <c r="K19" i="1"/>
  <c r="L19" i="1"/>
  <c r="N19" i="1"/>
  <c r="I57" i="1"/>
  <c r="K102" i="1"/>
  <c r="K101" i="1"/>
  <c r="J102" i="1"/>
  <c r="K103" i="1"/>
  <c r="J103" i="1"/>
  <c r="K104" i="1"/>
  <c r="J104" i="1"/>
  <c r="K100" i="1"/>
  <c r="J100" i="1"/>
  <c r="K99" i="1"/>
  <c r="J99" i="1"/>
  <c r="K98" i="1"/>
  <c r="J98" i="1"/>
  <c r="I59" i="1"/>
  <c r="G105" i="1"/>
  <c r="G109" i="1"/>
  <c r="G106" i="1"/>
  <c r="J67" i="1"/>
  <c r="J66" i="1"/>
  <c r="L67" i="1"/>
  <c r="L66" i="1"/>
  <c r="K67" i="1"/>
  <c r="K66" i="1"/>
  <c r="G111" i="1"/>
  <c r="G112" i="1"/>
  <c r="H41" i="1"/>
  <c r="H43" i="1"/>
  <c r="H44" i="1"/>
  <c r="H45" i="1"/>
  <c r="H46" i="1"/>
  <c r="H47" i="1"/>
  <c r="H48" i="1"/>
  <c r="H49" i="1"/>
  <c r="H50" i="1"/>
  <c r="H51" i="1"/>
  <c r="H52" i="1"/>
  <c r="A52" i="1"/>
  <c r="F41" i="1"/>
  <c r="F52" i="1"/>
  <c r="F51" i="1"/>
  <c r="F50" i="1"/>
  <c r="F49" i="1"/>
  <c r="F48" i="1"/>
  <c r="F47" i="1"/>
  <c r="F46" i="1"/>
  <c r="F45" i="1"/>
  <c r="F44" i="1"/>
  <c r="F43" i="1"/>
  <c r="D41" i="1"/>
  <c r="D52" i="1"/>
  <c r="D51" i="1"/>
  <c r="D50" i="1"/>
  <c r="D49" i="1"/>
  <c r="D48" i="1"/>
  <c r="D47" i="1"/>
  <c r="D46" i="1"/>
  <c r="D45" i="1"/>
  <c r="D44" i="1"/>
  <c r="D43" i="1"/>
  <c r="M74" i="1"/>
  <c r="M76" i="1"/>
  <c r="L74" i="1"/>
  <c r="L76" i="1"/>
  <c r="K74" i="1"/>
  <c r="K76" i="1"/>
  <c r="J76" i="1"/>
  <c r="I78" i="1"/>
  <c r="I76" i="1"/>
  <c r="J74" i="1"/>
  <c r="J65" i="1"/>
  <c r="C94" i="1"/>
  <c r="C95" i="1"/>
  <c r="C90" i="1"/>
  <c r="C91" i="1"/>
  <c r="B33" i="1"/>
  <c r="E31" i="1"/>
  <c r="C35" i="1"/>
  <c r="H32" i="1"/>
  <c r="H38" i="1"/>
  <c r="I39" i="1"/>
  <c r="H37" i="1"/>
  <c r="I37" i="1"/>
  <c r="H7" i="1"/>
  <c r="H81" i="1"/>
  <c r="F81" i="1"/>
  <c r="D99" i="1"/>
  <c r="G98" i="1"/>
  <c r="F98" i="1"/>
  <c r="D98" i="1"/>
  <c r="E98" i="1"/>
  <c r="I34" i="1"/>
  <c r="F77" i="1"/>
  <c r="F72" i="1"/>
  <c r="C85" i="1"/>
  <c r="C80" i="1"/>
  <c r="G88" i="1"/>
  <c r="G66" i="1"/>
  <c r="G59" i="1"/>
  <c r="D34" i="1"/>
  <c r="E32" i="1"/>
  <c r="D36" i="1"/>
  <c r="D37" i="1"/>
  <c r="E36" i="1"/>
  <c r="H31" i="1"/>
  <c r="C74" i="1"/>
  <c r="C69" i="1"/>
  <c r="C64" i="1"/>
  <c r="C59" i="1"/>
  <c r="B46" i="1"/>
  <c r="B52" i="1"/>
  <c r="B44" i="1"/>
  <c r="B50" i="1"/>
  <c r="A50" i="1"/>
  <c r="I32" i="1"/>
  <c r="I31" i="1"/>
  <c r="F31" i="1"/>
  <c r="L13" i="1"/>
  <c r="M13" i="1"/>
  <c r="N13" i="1"/>
  <c r="H94" i="1"/>
  <c r="C27" i="1"/>
  <c r="K7" i="1"/>
  <c r="K4" i="1"/>
  <c r="C14" i="1"/>
  <c r="F22" i="1"/>
  <c r="F25" i="1"/>
  <c r="C23" i="1"/>
  <c r="B23" i="1"/>
  <c r="C19" i="1"/>
  <c r="B19" i="1"/>
  <c r="G12" i="1"/>
  <c r="C12" i="1"/>
  <c r="D7" i="1"/>
  <c r="C7" i="1"/>
  <c r="D150" i="1"/>
</calcChain>
</file>

<file path=xl/comments1.xml><?xml version="1.0" encoding="utf-8"?>
<comments xmlns="http://schemas.openxmlformats.org/spreadsheetml/2006/main">
  <authors>
    <author>Michael F</author>
  </authors>
  <commentList>
    <comment ref="F3" authorId="0">
      <text>
        <r>
          <rPr>
            <b/>
            <sz val="12"/>
            <color indexed="81"/>
            <rFont val="Calibri"/>
            <family val="2"/>
          </rPr>
          <t>Blowdown calculator added Feb 10. Jet size calculators added Feb 20. Also fixed hot port duration calculator. Added 2nd blowdown calculator that figures the needed blowdown degree increase if you are modifying for higher RPM. Added calculator to find out liters of gasoline when only its weight in grams is known. Added needle shroud calculator.</t>
        </r>
      </text>
    </comment>
    <comment ref="O3" authorId="0">
      <text>
        <r>
          <rPr>
            <b/>
            <sz val="12"/>
            <color indexed="81"/>
            <rFont val="Calibri"/>
            <family val="2"/>
          </rPr>
          <t>This is the cross sectional area, not the total stinger area</t>
        </r>
      </text>
    </comment>
    <comment ref="C5" authorId="0">
      <text>
        <r>
          <rPr>
            <b/>
            <sz val="11"/>
            <color indexed="81"/>
            <rFont val="Calibri"/>
            <family val="2"/>
          </rPr>
          <t>25 meters per second is considered a good maximum allowable velocity. Maximum velocity (about mid stroke) is about 1.62 times this value. This calculation assumes a conrod length twice that of the stroke.</t>
        </r>
      </text>
    </comment>
    <comment ref="D5" authorId="0">
      <text>
        <r>
          <rPr>
            <b/>
            <sz val="11"/>
            <color indexed="81"/>
            <rFont val="Calibri"/>
            <family val="2"/>
          </rPr>
          <t>RPM needed to obtain 25m/sec average piston velocity which is considered the highest while retaining some piston reliabilty.</t>
        </r>
      </text>
    </comment>
    <comment ref="H6" authorId="0">
      <text>
        <r>
          <rPr>
            <b/>
            <sz val="11"/>
            <color indexed="81"/>
            <rFont val="Calibri"/>
            <family val="2"/>
          </rPr>
          <t>cylinder psi if the rings aren't too worn</t>
        </r>
      </text>
    </comment>
    <comment ref="A10" authorId="0">
      <text>
        <r>
          <rPr>
            <b/>
            <sz val="11"/>
            <color indexed="81"/>
            <rFont val="Calibri"/>
            <family val="2"/>
          </rPr>
          <t>Use the trapped engine volume calculator to get this value at  I19.</t>
        </r>
      </text>
    </comment>
    <comment ref="E10" authorId="0">
      <text>
        <r>
          <rPr>
            <b/>
            <sz val="11"/>
            <color indexed="81"/>
            <rFont val="Calibri"/>
            <family val="2"/>
          </rPr>
          <t>Invert the head/gasket/cylinder and pour in a liquid till the exhaust port and then pour it off and measure it. Then subtract the piston dome cc from it.</t>
        </r>
      </text>
    </comment>
    <comment ref="G10" authorId="0">
      <text>
        <r>
          <rPr>
            <b/>
            <sz val="11"/>
            <color indexed="81"/>
            <rFont val="Calibri"/>
            <family val="2"/>
          </rPr>
          <t>This is the calculated volume above the piston at TDC.</t>
        </r>
      </text>
    </comment>
    <comment ref="B11" authorId="0">
      <text>
        <r>
          <rPr>
            <b/>
            <sz val="11"/>
            <color indexed="81"/>
            <rFont val="Calibri"/>
            <family val="2"/>
          </rPr>
          <t>the measured space from piston top (at TDC) to top of cylinder (and head gasket) plus the measured space of the head. You can use the trapped engine volume calculator and the "above piston" value from K19.</t>
        </r>
      </text>
    </comment>
    <comment ref="J11" authorId="0">
      <text>
        <r>
          <rPr>
            <b/>
            <sz val="11"/>
            <color indexed="81"/>
            <rFont val="Calibri"/>
            <family val="2"/>
          </rPr>
          <t>1.5 is the industry standard.</t>
        </r>
      </text>
    </comment>
    <comment ref="K11" authorId="0">
      <text>
        <r>
          <rPr>
            <b/>
            <sz val="11"/>
            <color indexed="81"/>
            <rFont val="Calibri"/>
            <family val="2"/>
          </rPr>
          <t>TDC refers to the point on the cylinder where the piston top edge is at the top of the piston stroke.</t>
        </r>
      </text>
    </comment>
    <comment ref="L11" authorId="0">
      <text>
        <r>
          <rPr>
            <b/>
            <sz val="11"/>
            <color indexed="81"/>
            <rFont val="Calibri"/>
            <family val="2"/>
          </rPr>
          <t>This the volume swept by the piston above the top of the transfers.</t>
        </r>
      </text>
    </comment>
    <comment ref="M11" authorId="0">
      <text>
        <r>
          <rPr>
            <b/>
            <sz val="11"/>
            <color indexed="81"/>
            <rFont val="Calibri"/>
            <family val="2"/>
          </rPr>
          <t>This is the compressed crankcase volume. (piston at BDC)</t>
        </r>
      </text>
    </comment>
    <comment ref="N11" authorId="0">
      <text>
        <r>
          <rPr>
            <b/>
            <sz val="11"/>
            <color indexed="81"/>
            <rFont val="Calibri"/>
            <family val="2"/>
          </rPr>
          <t>The RPM of maximum delivery ratio assuming a CCR of 1.5 gives 10,000</t>
        </r>
      </text>
    </comment>
    <comment ref="E17" authorId="0">
      <text>
        <r>
          <rPr>
            <b/>
            <sz val="11"/>
            <color indexed="81"/>
            <rFont val="Calibri"/>
            <family val="2"/>
          </rPr>
          <t>millimeters from top of exhaust port to cylinder top.</t>
        </r>
      </text>
    </comment>
    <comment ref="F17" authorId="0">
      <text>
        <r>
          <rPr>
            <b/>
            <sz val="11"/>
            <color indexed="81"/>
            <rFont val="Calibri"/>
            <family val="2"/>
          </rPr>
          <t>At TDC the distance between cylinder top and piston edge. If it is above the cylinder top then enter it as a negative #.</t>
        </r>
      </text>
    </comment>
    <comment ref="I17" authorId="0">
      <text>
        <r>
          <rPr>
            <b/>
            <sz val="11"/>
            <color indexed="81"/>
            <rFont val="Calibri"/>
            <family val="2"/>
          </rPr>
          <t>The above port total engine volume. You can use this at A12. This is the true 2 stroke engine size.</t>
        </r>
      </text>
    </comment>
    <comment ref="J17" authorId="0">
      <text>
        <r>
          <rPr>
            <b/>
            <sz val="11"/>
            <color indexed="81"/>
            <rFont val="Calibri"/>
            <family val="2"/>
          </rPr>
          <t>the volume the piston dome occupies.</t>
        </r>
      </text>
    </comment>
    <comment ref="K17" authorId="0">
      <text>
        <r>
          <rPr>
            <b/>
            <sz val="11"/>
            <color indexed="81"/>
            <rFont val="Calibri"/>
            <family val="2"/>
          </rPr>
          <t>the combustion chamber volume at TDC.</t>
        </r>
      </text>
    </comment>
    <comment ref="G18" authorId="0">
      <text>
        <r>
          <rPr>
            <b/>
            <sz val="11"/>
            <color indexed="81"/>
            <rFont val="Calibri"/>
            <family val="2"/>
          </rPr>
          <t>Cylinder diameter in millimeters.</t>
        </r>
      </text>
    </comment>
    <comment ref="H18" authorId="0">
      <text>
        <r>
          <rPr>
            <b/>
            <sz val="11"/>
            <color indexed="81"/>
            <rFont val="Calibri"/>
            <family val="2"/>
          </rPr>
          <t>With the spark plug in, invert the head and pour a liquid (ie: alcohol) to fill it and then pour it out and measure it.</t>
        </r>
      </text>
    </comment>
    <comment ref="N18" authorId="0">
      <text>
        <r>
          <rPr>
            <b/>
            <sz val="11"/>
            <color indexed="81"/>
            <rFont val="Calibri"/>
            <family val="2"/>
          </rPr>
          <t>cylinder psi if the rings aren't too worn</t>
        </r>
      </text>
    </comment>
    <comment ref="H24" authorId="0">
      <text>
        <r>
          <rPr>
            <b/>
            <sz val="11"/>
            <color indexed="81"/>
            <rFont val="Calibri"/>
            <family val="2"/>
          </rPr>
          <t>center dome height over the piston edge</t>
        </r>
      </text>
    </comment>
    <comment ref="C26" authorId="0">
      <text>
        <r>
          <rPr>
            <b/>
            <sz val="11"/>
            <color indexed="81"/>
            <rFont val="Calibri"/>
            <family val="2"/>
          </rPr>
          <t>This is the swept volume of the piston which is the 4 stroke method and I don't know why it is used for 2 strokes. Look at I19 for the true engine size for 2 strokes.</t>
        </r>
      </text>
    </comment>
    <comment ref="F29" authorId="0">
      <text>
        <r>
          <rPr>
            <b/>
            <sz val="11"/>
            <color indexed="81"/>
            <rFont val="Calibri"/>
            <family val="2"/>
          </rPr>
          <t>This is the maximum carb flow velocity which should be compared to the velocities at H31 and H32.</t>
        </r>
      </text>
    </comment>
    <comment ref="I29" authorId="0">
      <text>
        <r>
          <rPr>
            <b/>
            <sz val="11"/>
            <color indexed="81"/>
            <rFont val="Calibri"/>
            <family val="2"/>
          </rPr>
          <t>This is the size carb needed to achieve the listed ideal velocities, assuming a engine compr ratio of 9:1. The section below makes use of the data for bore, CR, elevation.</t>
        </r>
      </text>
    </comment>
    <comment ref="H33" authorId="0">
      <text>
        <r>
          <rPr>
            <b/>
            <sz val="11"/>
            <color indexed="81"/>
            <rFont val="Calibri"/>
            <family val="2"/>
          </rPr>
          <t>Slide cutaway divided by carb size times 100. Ideal is around 10%.</t>
        </r>
      </text>
    </comment>
    <comment ref="I33" authorId="0">
      <text>
        <r>
          <rPr>
            <b/>
            <sz val="11"/>
            <color indexed="81"/>
            <rFont val="Calibri"/>
            <family val="2"/>
          </rPr>
          <t>This is the maximum size before creating jetting problems at low slide position. It depends a lot on the % cutaway.</t>
        </r>
      </text>
    </comment>
    <comment ref="E35" authorId="0">
      <text>
        <r>
          <rPr>
            <b/>
            <sz val="11"/>
            <color indexed="81"/>
            <rFont val="Calibri"/>
            <family val="2"/>
          </rPr>
          <t>If your slide is lower than this then your idle jet is too small, and if your slide is higher than this then your idle jet is too big.</t>
        </r>
      </text>
    </comment>
    <comment ref="I38" authorId="0">
      <text>
        <r>
          <rPr>
            <b/>
            <sz val="11"/>
            <color indexed="81"/>
            <rFont val="Calibri"/>
            <family val="2"/>
          </rPr>
          <t>I sell this carb size calculator so it is only partially shown here as a free version</t>
        </r>
      </text>
    </comment>
    <comment ref="A40" authorId="0">
      <text>
        <r>
          <rPr>
            <b/>
            <sz val="11"/>
            <color indexed="81"/>
            <rFont val="Calibri"/>
            <family val="2"/>
          </rPr>
          <t>center to center distance in millimeters which is usually twice that of the piston stroke</t>
        </r>
      </text>
    </comment>
    <comment ref="D42" authorId="0">
      <text>
        <r>
          <rPr>
            <b/>
            <sz val="11"/>
            <color indexed="81"/>
            <rFont val="Calibri"/>
            <family val="2"/>
          </rPr>
          <t>mm above port for the given duration listed at the left</t>
        </r>
      </text>
    </comment>
    <comment ref="F42" authorId="0">
      <text>
        <r>
          <rPr>
            <b/>
            <sz val="11"/>
            <color indexed="81"/>
            <rFont val="Calibri"/>
            <family val="2"/>
          </rPr>
          <t>mm above port for the given duration listed at the left</t>
        </r>
      </text>
    </comment>
    <comment ref="H42" authorId="0">
      <text>
        <r>
          <rPr>
            <b/>
            <sz val="11"/>
            <color indexed="81"/>
            <rFont val="Calibri"/>
            <family val="2"/>
          </rPr>
          <t>mm above port for the given duration listed at the left</t>
        </r>
      </text>
    </comment>
    <comment ref="A43" authorId="0">
      <text>
        <r>
          <rPr>
            <b/>
            <sz val="11"/>
            <color indexed="81"/>
            <rFont val="Calibri"/>
            <family val="2"/>
          </rPr>
          <t>Measured mm from top of exhaust port to the TDC point on the cylinder.</t>
        </r>
      </text>
    </comment>
    <comment ref="A45" authorId="0">
      <text>
        <r>
          <rPr>
            <b/>
            <sz val="11"/>
            <color indexed="81"/>
            <rFont val="Calibri"/>
            <family val="2"/>
          </rPr>
          <t>Measured mm from top of transfer port to the TDC point on the cylinder.</t>
        </r>
      </text>
    </comment>
    <comment ref="B49" authorId="0">
      <text>
        <r>
          <rPr>
            <b/>
            <sz val="11"/>
            <color indexed="81"/>
            <rFont val="Calibri"/>
            <family val="2"/>
          </rPr>
          <t>Estimated port duration while the engine is at peak temperature</t>
        </r>
      </text>
    </comment>
    <comment ref="E54" authorId="0">
      <text>
        <r>
          <rPr>
            <b/>
            <sz val="11"/>
            <color indexed="81"/>
            <rFont val="Calibri"/>
            <family val="2"/>
          </rPr>
          <t>This is a way to verify that your measuring cup is accurate by pouring the calculated weight of oil into it and seeing if the resultant amount is what it should be according to your gas/oil ratio.</t>
        </r>
      </text>
    </comment>
    <comment ref="D55" authorId="0">
      <text>
        <r>
          <rPr>
            <b/>
            <sz val="11"/>
            <color indexed="81"/>
            <rFont val="Calibri"/>
            <family val="2"/>
          </rPr>
          <t>Oil for G56.</t>
        </r>
      </text>
    </comment>
    <comment ref="E55" authorId="0">
      <text>
        <r>
          <rPr>
            <b/>
            <sz val="11"/>
            <color indexed="81"/>
            <rFont val="Calibri"/>
            <family val="2"/>
          </rPr>
          <t>Weigh a volume of water that is probably more than the volume of oil you will be adding to the gasoline. If you know the density of the engine oil then just skip this step and read the comment for F56.</t>
        </r>
      </text>
    </comment>
    <comment ref="H55" authorId="0">
      <text>
        <r>
          <rPr>
            <b/>
            <sz val="11"/>
            <color indexed="81"/>
            <rFont val="Calibri"/>
            <family val="2"/>
          </rPr>
          <t>Grams of the same volume that was used to find the value at G55.</t>
        </r>
      </text>
    </comment>
    <comment ref="E56" authorId="0">
      <text>
        <r>
          <rPr>
            <b/>
            <sz val="11"/>
            <color indexed="81"/>
            <rFont val="Calibri"/>
            <family val="2"/>
          </rPr>
          <t>Weigh the oil you will use that occupies the same volume that the water occupied. If the oil specs list density then just multiply the density by the value at G55 to get this value. For instance, if the density is .87 and the value at G55 is 100 then this value will be 87.</t>
        </r>
      </text>
    </comment>
    <comment ref="F57" authorId="0">
      <text>
        <r>
          <rPr>
            <b/>
            <sz val="11"/>
            <color indexed="81"/>
            <rFont val="Calibri"/>
            <family val="2"/>
          </rPr>
          <t>Ratio you want to use for this oil.</t>
        </r>
      </text>
    </comment>
    <comment ref="H57" authorId="0">
      <text>
        <r>
          <rPr>
            <b/>
            <sz val="11"/>
            <color indexed="81"/>
            <rFont val="Calibri"/>
            <family val="2"/>
          </rPr>
          <t>Gas density ranges from .71 to .77 kg per liter.</t>
        </r>
      </text>
    </comment>
    <comment ref="C58" authorId="0">
      <text>
        <r>
          <rPr>
            <b/>
            <sz val="11"/>
            <color indexed="81"/>
            <rFont val="Calibri"/>
            <family val="2"/>
          </rPr>
          <t>"Full" is stated to make sure you understand that needle tapers are listed as full angles, not the angle of half the needle starting from its centerline.</t>
        </r>
      </text>
    </comment>
    <comment ref="F58" authorId="0">
      <text>
        <r>
          <rPr>
            <b/>
            <sz val="11"/>
            <color indexed="81"/>
            <rFont val="Calibri"/>
            <family val="2"/>
          </rPr>
          <t>Liters of gasoline that you want to add oil to. You can measure this or get it from I59.</t>
        </r>
      </text>
    </comment>
    <comment ref="H58" authorId="0">
      <text>
        <r>
          <rPr>
            <b/>
            <sz val="11"/>
            <color indexed="81"/>
            <rFont val="Calibri"/>
            <family val="2"/>
          </rPr>
          <t>This is the grams of gasoline that you want to add oil to.</t>
        </r>
      </text>
    </comment>
    <comment ref="L58" authorId="0">
      <text>
        <r>
          <rPr>
            <b/>
            <sz val="11"/>
            <color indexed="81"/>
            <rFont val="Calibri"/>
            <family val="2"/>
          </rPr>
          <t>You can store the needed ratios for your ride here.</t>
        </r>
      </text>
    </comment>
    <comment ref="M58" authorId="0">
      <text>
        <r>
          <rPr>
            <b/>
            <sz val="11"/>
            <color indexed="81"/>
            <rFont val="Calibri"/>
            <family val="2"/>
          </rPr>
          <t>This is G56 divided by G55.</t>
        </r>
      </text>
    </comment>
    <comment ref="E59" authorId="0">
      <text>
        <r>
          <rPr>
            <b/>
            <sz val="12"/>
            <color indexed="81"/>
            <rFont val="Calibri"/>
            <family val="2"/>
          </rPr>
          <t>This is the weight of oil needed to mix in with the liters of gasoline entered above. Be sure to swish around gasoline in the container after pouring out the oil. This will get all the oil which is important when measuring for a small mixture volume.</t>
        </r>
      </text>
    </comment>
    <comment ref="H59" authorId="0">
      <text>
        <r>
          <rPr>
            <b/>
            <sz val="11"/>
            <color indexed="81"/>
            <rFont val="Calibri"/>
            <family val="2"/>
          </rPr>
          <t>This is the calculated liters of gasoline for the values above. Enter this value at G58 if you are using this method instead of measuring the amount of gas.</t>
        </r>
      </text>
    </comment>
    <comment ref="I64" authorId="0">
      <text>
        <r>
          <rPr>
            <b/>
            <sz val="11"/>
            <color indexed="81"/>
            <rFont val="Calibri"/>
            <family val="2"/>
          </rPr>
          <t>Enter 3 if it is a dual port (bridged exhaust) or triple port. Calculations for single port assume the straight across width is 70% of the bore.</t>
        </r>
      </text>
    </comment>
    <comment ref="K65" authorId="0">
      <text>
        <r>
          <rPr>
            <b/>
            <sz val="11"/>
            <color indexed="81"/>
            <rFont val="Calibri"/>
            <family val="2"/>
          </rPr>
          <t>This is the exhaust duration needed to achieve the listed blowdown (to the left) without changing the transfer duration.</t>
        </r>
      </text>
    </comment>
    <comment ref="L65" authorId="0">
      <text>
        <r>
          <rPr>
            <b/>
            <sz val="11"/>
            <color indexed="81"/>
            <rFont val="Calibri"/>
            <family val="2"/>
          </rPr>
          <t>This is the transfer duration needed to achieve the listed blowdown (to the left) without changing the exhaust duration. If it is less than what's at J62 then you have to carfully put JBweld at the top of transfers to lower them.</t>
        </r>
      </text>
    </comment>
    <comment ref="E66" authorId="0">
      <text>
        <r>
          <rPr>
            <b/>
            <sz val="12"/>
            <color indexed="81"/>
            <rFont val="Calibri"/>
            <family val="2"/>
          </rPr>
          <t>This is the weight of oil needed to mix in with the gallons of gasoline entered above.</t>
        </r>
      </text>
    </comment>
    <comment ref="I66" authorId="0">
      <text>
        <r>
          <rPr>
            <b/>
            <sz val="11"/>
            <color indexed="81"/>
            <rFont val="Calibri"/>
            <family val="2"/>
          </rPr>
          <t>recommended blowdown degrees if your exhaust port is 70% of the bore (straight across). This blowdown is for the best peak power.</t>
        </r>
      </text>
    </comment>
    <comment ref="I67" authorId="0">
      <text>
        <r>
          <rPr>
            <b/>
            <sz val="11"/>
            <color indexed="81"/>
            <rFont val="Calibri"/>
            <family val="2"/>
          </rPr>
          <t>This blowdown allows only 95% of the transfer time (from transfers opening to BDC) to be free of combustion pressure. This is typical of street and trail bikes in order to have more down low power at the expense of top end power.</t>
        </r>
      </text>
    </comment>
    <comment ref="E68" authorId="0">
      <text>
        <r>
          <rPr>
            <b/>
            <sz val="11"/>
            <color indexed="81"/>
            <rFont val="Calibri"/>
            <family val="2"/>
          </rPr>
          <t>Since the primary drive ratio and the countershaft sprocket size are unchangeable then all this calculator needs are the rear sprocket size and wheel circumference (feet diameter x 3.14).</t>
        </r>
      </text>
    </comment>
    <comment ref="E71" authorId="0">
      <text>
        <r>
          <rPr>
            <b/>
            <sz val="11"/>
            <color indexed="81"/>
            <rFont val="Calibri"/>
            <family val="2"/>
          </rPr>
          <t>tire circumference in feet (diameter in feet x 3.14)</t>
        </r>
      </text>
    </comment>
    <comment ref="E76" authorId="0">
      <text>
        <r>
          <rPr>
            <b/>
            <sz val="11"/>
            <color indexed="81"/>
            <rFont val="Calibri"/>
            <family val="2"/>
          </rPr>
          <t>meters of tire circumference (meteres diameter x 3.14)</t>
        </r>
      </text>
    </comment>
    <comment ref="F85" authorId="0">
      <text>
        <r>
          <rPr>
            <b/>
            <sz val="11"/>
            <color indexed="81"/>
            <rFont val="Calibri"/>
            <family val="2"/>
          </rPr>
          <t>This is for when you draw your pipe design with a curved belly.</t>
        </r>
      </text>
    </comment>
    <comment ref="F87" authorId="0">
      <text>
        <r>
          <rPr>
            <b/>
            <sz val="11"/>
            <color indexed="81"/>
            <rFont val="Calibri"/>
            <family val="2"/>
          </rPr>
          <t>Look to the drawings to the right to see the two examples of 90 and 60 degrees</t>
        </r>
      </text>
    </comment>
    <comment ref="B89" authorId="0">
      <text>
        <r>
          <rPr>
            <b/>
            <sz val="11"/>
            <color indexed="81"/>
            <rFont val="Calibri"/>
            <family val="2"/>
          </rPr>
          <t>Millimeters from piston face at the exhaust port to the end of the belly</t>
        </r>
      </text>
    </comment>
    <comment ref="B91" authorId="0">
      <text>
        <r>
          <rPr>
            <b/>
            <sz val="11"/>
            <color indexed="81"/>
            <rFont val="Calibri"/>
            <family val="2"/>
          </rPr>
          <t>This assumes a racing pipe with a 180mm long baffle cone</t>
        </r>
      </text>
    </comment>
    <comment ref="I96" authorId="0">
      <text>
        <r>
          <rPr>
            <b/>
            <sz val="11"/>
            <color indexed="81"/>
            <rFont val="Calibri"/>
            <family val="2"/>
          </rPr>
          <t>The positive percentages reflect richer jetting and the negative ones reflect leaner jetting. After you compensate for the change with a different main jet then the richer or leaner change then only exists mid throttle.</t>
        </r>
      </text>
    </comment>
    <comment ref="L96" authorId="0">
      <text>
        <r>
          <rPr>
            <b/>
            <sz val="11"/>
            <color indexed="81"/>
            <rFont val="Calibri"/>
            <family val="2"/>
          </rPr>
          <t>This calculates the above port compression ratio for different exhaust port durations, from any full stroke compression ratio.</t>
        </r>
      </text>
    </comment>
    <comment ref="I101" authorId="0">
      <text>
        <r>
          <rPr>
            <b/>
            <sz val="11"/>
            <color indexed="81"/>
            <rFont val="Calibri"/>
            <family val="2"/>
          </rPr>
          <t>Needle shroud height from the venturi base.</t>
        </r>
      </text>
    </comment>
    <comment ref="F105" authorId="0">
      <text>
        <r>
          <rPr>
            <b/>
            <sz val="11"/>
            <color indexed="81"/>
            <rFont val="Calibri"/>
            <family val="2"/>
          </rPr>
          <t>How many milliseconds of blowdown time.</t>
        </r>
      </text>
    </comment>
    <comment ref="F108" authorId="0">
      <text>
        <r>
          <rPr>
            <b/>
            <sz val="11"/>
            <color indexed="81"/>
            <rFont val="Calibri"/>
            <family val="2"/>
          </rPr>
          <t>This is for when you are modifying the porting for a higher RPM. Don't forget to shorten the header of the exhaust pipe to match the new RPM increase.</t>
        </r>
      </text>
    </comment>
    <comment ref="F109" authorId="0">
      <text>
        <r>
          <rPr>
            <b/>
            <sz val="11"/>
            <color indexed="81"/>
            <rFont val="Calibri"/>
            <family val="2"/>
          </rPr>
          <t>This calculates the needed blowdown degrees to have the same previous blowdown time but at the new RPM.</t>
        </r>
      </text>
    </comment>
    <comment ref="F111" authorId="0">
      <text>
        <r>
          <rPr>
            <b/>
            <sz val="11"/>
            <color indexed="81"/>
            <rFont val="Calibri"/>
            <family val="2"/>
          </rPr>
          <t xml:space="preserve">This is how many more blowdown degrees you need. </t>
        </r>
      </text>
    </comment>
    <comment ref="F112" authorId="0">
      <text>
        <r>
          <rPr>
            <b/>
            <sz val="11"/>
            <color indexed="81"/>
            <rFont val="Calibri"/>
            <family val="2"/>
          </rPr>
          <t>This is what you need to increase the exhaust duration to in order to have the suggested needed blowdown degrees.</t>
        </r>
      </text>
    </comment>
    <comment ref="C119" authorId="0">
      <text>
        <r>
          <rPr>
            <b/>
            <sz val="12"/>
            <color indexed="81"/>
            <rFont val="Calibri"/>
            <family val="2"/>
          </rPr>
          <t>This is the length from piston face to beginning of intake bell close to the slide (see drawing). The resonanat length is for the listed peak power RPM. This goes by a sound wave speed of 1125 ft/sec. The intake period starts when the rising piston shuts off the transfers and ends at TDC. The negative sound wave becomes a positive one returning to the cylinder once it reaches the carb intake bell. And that helps push extra intake charge into the engine at TDC.
The drawing here insinuates that the extra length needs to be between carb and reed but that isn't so. You can make an extension tube from the carb intake bell out to an air filter.</t>
        </r>
      </text>
    </comment>
    <comment ref="J138" authorId="0">
      <text>
        <r>
          <rPr>
            <b/>
            <sz val="11"/>
            <color indexed="81"/>
            <rFont val="Calibri"/>
            <family val="2"/>
          </rPr>
          <t>This tells you what jet sizes you need when you change carburetor size.</t>
        </r>
      </text>
    </comment>
    <comment ref="K139" authorId="0">
      <text>
        <r>
          <rPr>
            <b/>
            <sz val="11"/>
            <color indexed="81"/>
            <rFont val="Calibri"/>
            <family val="2"/>
          </rPr>
          <t>Look up your main jets hole diameter below</t>
        </r>
      </text>
    </comment>
    <comment ref="K142" authorId="0">
      <text>
        <r>
          <rPr>
            <b/>
            <sz val="11"/>
            <color indexed="81"/>
            <rFont val="Calibri"/>
            <family val="2"/>
          </rPr>
          <t>The new main jet is the result of keeping the same ratio of jet hole area to carb throat area.</t>
        </r>
      </text>
    </comment>
  </commentList>
</comments>
</file>

<file path=xl/sharedStrings.xml><?xml version="1.0" encoding="utf-8"?>
<sst xmlns="http://schemas.openxmlformats.org/spreadsheetml/2006/main" count="434" uniqueCount="307">
  <si>
    <t>piston stroke</t>
  </si>
  <si>
    <t>max RPM</t>
  </si>
  <si>
    <t>max allow-</t>
  </si>
  <si>
    <t>able RPM</t>
  </si>
  <si>
    <t>cranking psi</t>
  </si>
  <si>
    <t>compr ratio</t>
  </si>
  <si>
    <t xml:space="preserve">engine </t>
  </si>
  <si>
    <t>m/sec velocity</t>
  </si>
  <si>
    <t>above exhaust</t>
  </si>
  <si>
    <t>above TDC cc</t>
  </si>
  <si>
    <t>engine</t>
  </si>
  <si>
    <t>(same in oz.)</t>
  </si>
  <si>
    <t>above</t>
  </si>
  <si>
    <t>TDC cc</t>
  </si>
  <si>
    <t xml:space="preserve"> main jet</t>
  </si>
  <si>
    <t>Mikuni 4/042</t>
  </si>
  <si>
    <t>equivalent</t>
  </si>
  <si>
    <t>N100.64 jet</t>
  </si>
  <si>
    <t>2 Stroke Calculators</t>
  </si>
  <si>
    <t>head volume</t>
  </si>
  <si>
    <t>Mikuni jet crossover</t>
  </si>
  <si>
    <t>hole diameter</t>
  </si>
  <si>
    <t>4/042 jet</t>
  </si>
  <si>
    <t>Mikuni N100.64</t>
  </si>
  <si>
    <t>main jet</t>
  </si>
  <si>
    <t>trapped engine volume</t>
  </si>
  <si>
    <t>port cc (ml)</t>
  </si>
  <si>
    <t>cylinder bore</t>
  </si>
  <si>
    <t>port mm</t>
  </si>
  <si>
    <t>engine cc</t>
  </si>
  <si>
    <t>trapped</t>
  </si>
  <si>
    <t>head</t>
  </si>
  <si>
    <t>head gasket</t>
  </si>
  <si>
    <t>mm thickness</t>
  </si>
  <si>
    <t>mm height</t>
  </si>
  <si>
    <t>mm piston edge</t>
  </si>
  <si>
    <t>to cylinder top</t>
  </si>
  <si>
    <t>head cc</t>
  </si>
  <si>
    <t>piston dome</t>
  </si>
  <si>
    <t>gasket</t>
  </si>
  <si>
    <t>cc volume</t>
  </si>
  <si>
    <t xml:space="preserve">deck </t>
  </si>
  <si>
    <t>port to TDC</t>
  </si>
  <si>
    <t>ounces</t>
  </si>
  <si>
    <t>cubic centimeters</t>
  </si>
  <si>
    <t>cc</t>
  </si>
  <si>
    <t>meters</t>
  </si>
  <si>
    <t>feet</t>
  </si>
  <si>
    <t>inches</t>
  </si>
  <si>
    <t xml:space="preserve"> (mm)</t>
  </si>
  <si>
    <t>millimeters</t>
  </si>
  <si>
    <t>by Michael Forrest</t>
  </si>
  <si>
    <t>mm carb</t>
  </si>
  <si>
    <t>Intake</t>
  </si>
  <si>
    <t>Carb Flow</t>
  </si>
  <si>
    <t>mm ideal</t>
  </si>
  <si>
    <t>diameter</t>
  </si>
  <si>
    <t>Volume L/min</t>
  </si>
  <si>
    <t>Velocity m/sec</t>
  </si>
  <si>
    <t>type of riding</t>
  </si>
  <si>
    <t>ideal velocity</t>
  </si>
  <si>
    <t>carb diameter</t>
  </si>
  <si>
    <t>enduro/street</t>
  </si>
  <si>
    <t>racing</t>
  </si>
  <si>
    <t>vol. efficiency</t>
  </si>
  <si>
    <t>area</t>
  </si>
  <si>
    <t>cm^2 carb</t>
  </si>
  <si>
    <t>stroke mm</t>
  </si>
  <si>
    <t>cyl bore mm</t>
  </si>
  <si>
    <t>cc size</t>
  </si>
  <si>
    <t>(from center)</t>
  </si>
  <si>
    <t>cone length mm</t>
  </si>
  <si>
    <t>small end dia.</t>
  </si>
  <si>
    <t>large end dia.</t>
  </si>
  <si>
    <t>cone angle</t>
  </si>
  <si>
    <t>feet elevation</t>
  </si>
  <si>
    <t>web page</t>
  </si>
  <si>
    <t>(data entry cells are light blue)</t>
  </si>
  <si>
    <t>Cranking Engine PSI</t>
  </si>
  <si>
    <t>Crankcase</t>
  </si>
  <si>
    <t>ratio RPM</t>
  </si>
  <si>
    <t>Maximum Delivery Ratio RPM</t>
  </si>
  <si>
    <t>Volume cc</t>
  </si>
  <si>
    <t>Above Port mm</t>
  </si>
  <si>
    <t>exhaust</t>
  </si>
  <si>
    <t>transfers</t>
  </si>
  <si>
    <t>cold</t>
  </si>
  <si>
    <t>hot</t>
  </si>
  <si>
    <t>duration</t>
  </si>
  <si>
    <t>above port</t>
  </si>
  <si>
    <t>Estimated Durations</t>
  </si>
  <si>
    <t>exhaust cold</t>
  </si>
  <si>
    <t>exhaust hot</t>
  </si>
  <si>
    <t>transfers cold</t>
  </si>
  <si>
    <t>transfers hot</t>
  </si>
  <si>
    <t>Con Rod mm</t>
  </si>
  <si>
    <t>Hot Port Durations Calculator</t>
  </si>
  <si>
    <t>website page</t>
  </si>
  <si>
    <t>Taper Angle Finder</t>
  </si>
  <si>
    <t>length between dia's</t>
  </si>
  <si>
    <t>start diameter</t>
  </si>
  <si>
    <t>end diameter</t>
  </si>
  <si>
    <t>taper angle (full)</t>
  </si>
  <si>
    <t>End Diameter Finder</t>
  </si>
  <si>
    <t>taper degrees</t>
  </si>
  <si>
    <t>segment length</t>
  </si>
  <si>
    <t>end of segment dia.</t>
  </si>
  <si>
    <t>Taper Length Finder</t>
  </si>
  <si>
    <t>length between diameters</t>
  </si>
  <si>
    <t>Start Diameter Finder</t>
  </si>
  <si>
    <t>NEEDLE CALCULATOR</t>
  </si>
  <si>
    <t>max carb size</t>
  </si>
  <si>
    <t>% cutaway</t>
  </si>
  <si>
    <t>Carb Air Speed &amp; Size Calculator</t>
  </si>
  <si>
    <t>idle slide area</t>
  </si>
  <si>
    <t>idle slide height</t>
  </si>
  <si>
    <t>grams of a volume of water</t>
  </si>
  <si>
    <t>gas/oil ratio</t>
  </si>
  <si>
    <t>liters gasoline</t>
  </si>
  <si>
    <t>needed grams engine oil</t>
  </si>
  <si>
    <t>ounces of a volume of water</t>
  </si>
  <si>
    <t>gallons gasoline</t>
  </si>
  <si>
    <t>needed ounces engine oil</t>
  </si>
  <si>
    <t>Engine Oil Weight Calculator, Grams</t>
  </si>
  <si>
    <t>Engine Oil Weight Calculator, Ounces</t>
  </si>
  <si>
    <t>grams of same volume of oil</t>
  </si>
  <si>
    <t>ounces of same volume of oil</t>
  </si>
  <si>
    <t>pipe angle</t>
  </si>
  <si>
    <t>Pipe Radius Calculator</t>
  </si>
  <si>
    <t>rear sprocket teeth</t>
  </si>
  <si>
    <t>feet tire circumference</t>
  </si>
  <si>
    <t>max MPH</t>
  </si>
  <si>
    <t>meters tire circumference</t>
  </si>
  <si>
    <t>max KPH</t>
  </si>
  <si>
    <t>Motorized Bicycle (Grubee 2 stroke) Speed Calculator</t>
  </si>
  <si>
    <t>Motorized Bicycle (Grubee 2 stroke) RPM Calculator</t>
  </si>
  <si>
    <t>ft tire circumference</t>
  </si>
  <si>
    <t>meters tire circ.</t>
  </si>
  <si>
    <t>exhaust port duration</t>
  </si>
  <si>
    <t>(see video)</t>
  </si>
  <si>
    <t>cylinder</t>
  </si>
  <si>
    <t>bore mm</t>
  </si>
  <si>
    <t>mm from top</t>
  </si>
  <si>
    <t>of transfers</t>
  </si>
  <si>
    <t>to TDC</t>
  </si>
  <si>
    <t>maximum</t>
  </si>
  <si>
    <t>delivery</t>
  </si>
  <si>
    <t>crankcase</t>
  </si>
  <si>
    <t>compression</t>
  </si>
  <si>
    <t>ratio</t>
  </si>
  <si>
    <t>average piston velocity</t>
  </si>
  <si>
    <t>engine compression ratio</t>
  </si>
  <si>
    <t>engine size (conventional)</t>
  </si>
  <si>
    <t>small end diameter</t>
  </si>
  <si>
    <t>pipe angle from center</t>
  </si>
  <si>
    <t>Pipe Cone Pattern Maker</t>
  </si>
  <si>
    <t>length a</t>
  </si>
  <si>
    <t>length b</t>
  </si>
  <si>
    <t>length of chord</t>
  </si>
  <si>
    <t>angle A</t>
  </si>
  <si>
    <t>(Dimeters are inner diameters plus sheet metal thickness)</t>
  </si>
  <si>
    <t>(distances are in millimeters unless stated otherwise)</t>
  </si>
  <si>
    <t>MPH to KPH</t>
  </si>
  <si>
    <t>mph</t>
  </si>
  <si>
    <t>kph</t>
  </si>
  <si>
    <t>KPH to MPH</t>
  </si>
  <si>
    <t xml:space="preserve">This chart shows what the bike manufacturers went by, increasing the velocity for small engines </t>
  </si>
  <si>
    <t>to emphasize mid range power so the engine could carry the RPM up to the pipe powerband.</t>
  </si>
  <si>
    <t>compression ratio</t>
  </si>
  <si>
    <t>ft elevation</t>
  </si>
  <si>
    <t>This figures in the bore and compression ratio:</t>
  </si>
  <si>
    <t>cranking PSI</t>
  </si>
  <si>
    <t>see web page</t>
  </si>
  <si>
    <t>start of powerband RPM</t>
  </si>
  <si>
    <t>Pipe Powerband RPM Calculator</t>
  </si>
  <si>
    <t>end of powerband RPM</t>
  </si>
  <si>
    <t>piston to end of belly mm</t>
  </si>
  <si>
    <t>piston to end of belly inches</t>
  </si>
  <si>
    <t>Blowdown Calculator</t>
  </si>
  <si>
    <t>exhaust duration</t>
  </si>
  <si>
    <t>transfer duration</t>
  </si>
  <si>
    <t>1 or 3 port exhaust?</t>
  </si>
  <si>
    <t>existing blowdown</t>
  </si>
  <si>
    <t>Change to this exhaust or transfer duration (keeping the other existing one the same)</t>
  </si>
  <si>
    <t>N100/604 Main Jet</t>
  </si>
  <si>
    <t>mm hole diameter</t>
  </si>
  <si>
    <t>main jet hole area</t>
  </si>
  <si>
    <t>Mikuni Main Jet</t>
  </si>
  <si>
    <t xml:space="preserve"> Size Calculator</t>
  </si>
  <si>
    <t>hole area</t>
  </si>
  <si>
    <t>22/210 Idle Jet</t>
  </si>
  <si>
    <t>4/042 main jet #</t>
  </si>
  <si>
    <t>Size Calculator</t>
  </si>
  <si>
    <t>Mikuni Idle Jet</t>
  </si>
  <si>
    <t>Keihin Main Jet</t>
  </si>
  <si>
    <t>Main Jet #</t>
  </si>
  <si>
    <t>Dellorto Jet</t>
  </si>
  <si>
    <t>Keihin Idle Jet</t>
  </si>
  <si>
    <t>Idle Jet #</t>
  </si>
  <si>
    <t>Main or Idle Jet #</t>
  </si>
  <si>
    <t>Compression Ratio</t>
  </si>
  <si>
    <t>Click here for a listing of for-sale 2 stroke calculators</t>
  </si>
  <si>
    <t>BlowDown Calculator</t>
  </si>
  <si>
    <t>transfer port duration</t>
  </si>
  <si>
    <t>needed exh/transfer</t>
  </si>
  <si>
    <t>additional separation</t>
  </si>
  <si>
    <t>needed blowdown deg</t>
  </si>
  <si>
    <t>millimeters ==&gt;</t>
  </si>
  <si>
    <t>inches ==&gt;</t>
  </si>
  <si>
    <t>peak power RPM</t>
  </si>
  <si>
    <t>new peak power RPM</t>
  </si>
  <si>
    <t>needed exh duration</t>
  </si>
  <si>
    <t>needed best blowdown</t>
  </si>
  <si>
    <t>needed so-so blowdown</t>
  </si>
  <si>
    <t>blowdown degrees</t>
  </si>
  <si>
    <t>blowdown time (ms)</t>
  </si>
  <si>
    <t>grams gasoline</t>
  </si>
  <si>
    <t>volume gasoline</t>
  </si>
  <si>
    <t>grams of same</t>
  </si>
  <si>
    <t>Liters Gasoline Calculator</t>
  </si>
  <si>
    <t>ENGINE OIL</t>
  </si>
  <si>
    <t>Castor 927</t>
  </si>
  <si>
    <t>Motul 510</t>
  </si>
  <si>
    <t>Gas/Oil Ratio</t>
  </si>
  <si>
    <t>45 @ 7300</t>
  </si>
  <si>
    <t>27 @ 7300</t>
  </si>
  <si>
    <t>Oil Density</t>
  </si>
  <si>
    <t>Needle Shroud Calculator</t>
  </si>
  <si>
    <t>+3mm height</t>
  </si>
  <si>
    <t>+2mm height</t>
  </si>
  <si>
    <t>+1mm height</t>
  </si>
  <si>
    <t>-1mm height</t>
  </si>
  <si>
    <t>-2mm height</t>
  </si>
  <si>
    <t>-3mm height</t>
  </si>
  <si>
    <t>% jetting change</t>
  </si>
  <si>
    <t>shroud height</t>
  </si>
  <si>
    <t>Engine Oil</t>
  </si>
  <si>
    <t>gasoline density</t>
  </si>
  <si>
    <t>above piston cc</t>
  </si>
  <si>
    <t xml:space="preserve"> @ TDC </t>
  </si>
  <si>
    <t>port (ml)</t>
  </si>
  <si>
    <t>trapped cc</t>
  </si>
  <si>
    <t>42 @ 7300</t>
  </si>
  <si>
    <t>Super M</t>
  </si>
  <si>
    <t>top RPM (end of powerband)</t>
  </si>
  <si>
    <t>intake period in seconds</t>
  </si>
  <si>
    <t>Intake tract length in feet</t>
  </si>
  <si>
    <t>Intake tract length in cm</t>
  </si>
  <si>
    <t>Resonant Intake Length</t>
  </si>
  <si>
    <t>Dia. 1</t>
  </si>
  <si>
    <t>Dia. 2</t>
  </si>
  <si>
    <t>Dia. 3</t>
  </si>
  <si>
    <t>Dia. 4</t>
  </si>
  <si>
    <t>Dia. 5</t>
  </si>
  <si>
    <t>Dia. 6</t>
  </si>
  <si>
    <t>Dia. 7</t>
  </si>
  <si>
    <t>Dia. 8</t>
  </si>
  <si>
    <t>Dia. 9</t>
  </si>
  <si>
    <t>Dia. 10</t>
  </si>
  <si>
    <t>Dia. 11</t>
  </si>
  <si>
    <t>Dia. 12</t>
  </si>
  <si>
    <t>Dia. 13</t>
  </si>
  <si>
    <t>ANGLES --&gt;</t>
  </si>
  <si>
    <t>TRANSITION --&gt;</t>
  </si>
  <si>
    <t>Needle Diameters Every 3mm</t>
  </si>
  <si>
    <t>Needle Diameters Every 5mm</t>
  </si>
  <si>
    <t>Needle Diameters Every 10mm</t>
  </si>
  <si>
    <t>NEEDLE ANGLE FINDER</t>
  </si>
  <si>
    <t>start diameter (bigger)</t>
  </si>
  <si>
    <t>(Start diameters</t>
  </si>
  <si>
    <t>are "up" on the</t>
  </si>
  <si>
    <t>needle and "end"</t>
  </si>
  <si>
    <t>down from there.)</t>
  </si>
  <si>
    <t>diameters are</t>
  </si>
  <si>
    <t>current shroud height</t>
  </si>
  <si>
    <t>(end of taper dia.)</t>
  </si>
  <si>
    <t>measured oil density</t>
  </si>
  <si>
    <t>NOTES :</t>
  </si>
  <si>
    <t>inner diameter</t>
  </si>
  <si>
    <t>mm length</t>
  </si>
  <si>
    <t>original dimensions:</t>
  </si>
  <si>
    <t>C.S. area</t>
  </si>
  <si>
    <t>new diameter</t>
  </si>
  <si>
    <t>new dimensions:</t>
  </si>
  <si>
    <t>C. S. area</t>
  </si>
  <si>
    <t>Longer Stinger Diameter</t>
  </si>
  <si>
    <t>new longer length</t>
  </si>
  <si>
    <t>full stroke</t>
  </si>
  <si>
    <t>180* exhaust above</t>
  </si>
  <si>
    <t>port Compr. Ratio</t>
  </si>
  <si>
    <t>190* exhaust above</t>
  </si>
  <si>
    <t>170* exhaust above</t>
  </si>
  <si>
    <t>200* exhaust above</t>
  </si>
  <si>
    <t>Previous Carb Dia.</t>
  </si>
  <si>
    <t>Previous Idle Jet Dia.</t>
  </si>
  <si>
    <t>New Carb Dia.</t>
  </si>
  <si>
    <t>New Idle Jet Dia.</t>
  </si>
  <si>
    <t>NEW JET DIAMETER CALCULATOR</t>
  </si>
  <si>
    <t>updated Mar 12 '22</t>
  </si>
  <si>
    <t>Previous M. Jet Dia.</t>
  </si>
  <si>
    <t>New M. Jet Dia.</t>
  </si>
  <si>
    <t>Equivalent Compression Ratio Calculator</t>
  </si>
  <si>
    <t>average piston</t>
  </si>
  <si>
    <t>Pipe Cone Angle Calculator</t>
  </si>
  <si>
    <t>belly length in mm</t>
  </si>
  <si>
    <t>radius in mm</t>
  </si>
  <si>
    <t>large diameter mm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</si>
</sst>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
  </numFmts>
  <fonts count="31" x14ac:knownFonts="1">
    <font>
      <sz val="12"/>
      <color theme="1"/>
      <name val="Calibri"/>
      <family val="2"/>
      <scheme val="minor"/>
    </font>
    <font>
      <b/>
      <sz val="11"/>
      <color indexed="81"/>
      <name val="Calibri"/>
      <family val="2"/>
    </font>
    <font>
      <u/>
      <sz val="12"/>
      <color theme="10"/>
      <name val="Calibri"/>
      <family val="2"/>
      <scheme val="minor"/>
    </font>
    <font>
      <u/>
      <sz val="12"/>
      <color theme="11"/>
      <name val="Calibri"/>
      <family val="2"/>
      <scheme val="minor"/>
    </font>
    <font>
      <b/>
      <sz val="24"/>
      <color theme="1"/>
      <name val="Calibri"/>
      <family val="2"/>
      <scheme val="minor"/>
    </font>
    <font>
      <b/>
      <sz val="16"/>
      <color theme="1"/>
      <name val="Calibri"/>
      <family val="2"/>
      <scheme val="minor"/>
    </font>
    <font>
      <sz val="11"/>
      <name val="Verdana"/>
      <family val="2"/>
    </font>
    <font>
      <sz val="10"/>
      <name val="Verdana"/>
      <family val="2"/>
    </font>
    <font>
      <sz val="12"/>
      <color theme="0" tint="-0.499984740745262"/>
      <name val="Calibri"/>
      <family val="2"/>
      <scheme val="minor"/>
    </font>
    <font>
      <u/>
      <sz val="11"/>
      <name val="Verdana"/>
      <family val="2"/>
    </font>
    <font>
      <sz val="10"/>
      <color rgb="FF808080"/>
      <name val="Verdana"/>
      <family val="2"/>
    </font>
    <font>
      <b/>
      <sz val="10"/>
      <name val="Verdana"/>
      <family val="2"/>
    </font>
    <font>
      <b/>
      <sz val="11"/>
      <name val="Verdana"/>
      <family val="2"/>
    </font>
    <font>
      <b/>
      <sz val="22"/>
      <color theme="1"/>
      <name val="Calibri"/>
      <family val="2"/>
      <scheme val="minor"/>
    </font>
    <font>
      <b/>
      <sz val="12"/>
      <name val="Verdana"/>
      <family val="2"/>
    </font>
    <font>
      <b/>
      <sz val="18"/>
      <color theme="1"/>
      <name val="Calibri"/>
      <family val="2"/>
      <scheme val="minor"/>
    </font>
    <font>
      <sz val="12"/>
      <color theme="1" tint="0.499984740745262"/>
      <name val="Calibri"/>
      <family val="2"/>
      <scheme val="minor"/>
    </font>
    <font>
      <sz val="11"/>
      <color theme="1" tint="0.499984740745262"/>
      <name val="Verdana"/>
      <family val="2"/>
    </font>
    <font>
      <b/>
      <sz val="12"/>
      <color indexed="81"/>
      <name val="Calibri"/>
      <family val="2"/>
    </font>
    <font>
      <b/>
      <sz val="14"/>
      <color theme="1"/>
      <name val="Calibri"/>
      <family val="2"/>
      <scheme val="minor"/>
    </font>
    <font>
      <sz val="12"/>
      <name val="Calibri"/>
      <family val="2"/>
      <scheme val="minor"/>
    </font>
    <font>
      <b/>
      <sz val="12"/>
      <color theme="1"/>
      <name val="Calibri"/>
      <family val="2"/>
      <scheme val="minor"/>
    </font>
    <font>
      <b/>
      <sz val="12"/>
      <name val="Calibri"/>
      <family val="2"/>
      <scheme val="minor"/>
    </font>
    <font>
      <sz val="11"/>
      <color theme="0" tint="-0.499984740745262"/>
      <name val="Verdana"/>
      <family val="2"/>
    </font>
    <font>
      <sz val="12"/>
      <color theme="0" tint="-0.34998626667073579"/>
      <name val="Calibri"/>
      <family val="2"/>
      <scheme val="minor"/>
    </font>
    <font>
      <sz val="12"/>
      <name val="Verdana"/>
      <family val="2"/>
    </font>
    <font>
      <b/>
      <sz val="14"/>
      <name val="Calibri"/>
      <family val="2"/>
      <scheme val="minor"/>
    </font>
    <font>
      <u/>
      <sz val="16"/>
      <color theme="10"/>
      <name val="Calibri"/>
      <family val="2"/>
      <scheme val="minor"/>
    </font>
    <font>
      <b/>
      <sz val="12"/>
      <color theme="0" tint="-0.249977111117893"/>
      <name val="Calibri"/>
      <scheme val="minor"/>
    </font>
    <font>
      <sz val="12"/>
      <color theme="0" tint="-0.249977111117893"/>
      <name val="Calibri"/>
      <scheme val="minor"/>
    </font>
    <font>
      <b/>
      <sz val="12"/>
      <color theme="0" tint="-0.34998626667073579"/>
      <name val="Calibri"/>
      <scheme val="minor"/>
    </font>
  </fonts>
  <fills count="35">
    <fill>
      <patternFill patternType="none"/>
    </fill>
    <fill>
      <patternFill patternType="gray125"/>
    </fill>
    <fill>
      <patternFill patternType="solid">
        <fgColor rgb="FF92CDDC"/>
        <bgColor indexed="64"/>
      </patternFill>
    </fill>
    <fill>
      <patternFill patternType="solid">
        <fgColor rgb="FF3EACEA"/>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rgb="FFFFFF00"/>
        <bgColor indexed="64"/>
      </patternFill>
    </fill>
    <fill>
      <patternFill patternType="solid">
        <fgColor rgb="FFDA9694"/>
        <bgColor rgb="FF000000"/>
      </patternFill>
    </fill>
    <fill>
      <patternFill patternType="solid">
        <fgColor rgb="FFFABF8F"/>
        <bgColor rgb="FF000000"/>
      </patternFill>
    </fill>
    <fill>
      <patternFill patternType="solid">
        <fgColor rgb="FFFFFFFF"/>
        <bgColor rgb="FF000000"/>
      </patternFill>
    </fill>
    <fill>
      <patternFill patternType="solid">
        <fgColor rgb="FFFFFF00"/>
        <bgColor rgb="FF000000"/>
      </patternFill>
    </fill>
    <fill>
      <patternFill patternType="solid">
        <fgColor rgb="FFC4D79B"/>
        <bgColor rgb="FF000000"/>
      </patternFill>
    </fill>
    <fill>
      <patternFill patternType="solid">
        <fgColor rgb="FF92CDDC"/>
        <bgColor rgb="FF000000"/>
      </patternFill>
    </fill>
    <fill>
      <patternFill patternType="solid">
        <fgColor rgb="FF3EACEA"/>
        <bgColor rgb="FF000000"/>
      </patternFill>
    </fill>
    <fill>
      <patternFill patternType="solid">
        <fgColor theme="5"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CCC0DA"/>
        <bgColor rgb="FF000000"/>
      </patternFill>
    </fill>
    <fill>
      <patternFill patternType="solid">
        <fgColor rgb="FF399FF9"/>
        <bgColor rgb="FF000000"/>
      </patternFill>
    </fill>
    <fill>
      <patternFill patternType="solid">
        <fgColor rgb="FF99CCFF"/>
        <bgColor rgb="FF000000"/>
      </patternFill>
    </fill>
    <fill>
      <patternFill patternType="solid">
        <fgColor theme="7" tint="0.39997558519241921"/>
        <bgColor rgb="FF000000"/>
      </patternFill>
    </fill>
    <fill>
      <patternFill patternType="solid">
        <fgColor rgb="FFE6B8B7"/>
        <bgColor rgb="FF000000"/>
      </patternFill>
    </fill>
    <fill>
      <patternFill patternType="solid">
        <fgColor rgb="FF8DB4E2"/>
        <bgColor rgb="FF000000"/>
      </patternFill>
    </fill>
    <fill>
      <patternFill patternType="solid">
        <fgColor rgb="FFB8CCE4"/>
        <bgColor rgb="FF000000"/>
      </patternFill>
    </fill>
    <fill>
      <patternFill patternType="solid">
        <fgColor theme="5" tint="0.39997558519241921"/>
        <bgColor rgb="FF000000"/>
      </patternFill>
    </fill>
    <fill>
      <patternFill patternType="solid">
        <fgColor theme="0"/>
        <bgColor rgb="FF000000"/>
      </patternFill>
    </fill>
    <fill>
      <patternFill patternType="solid">
        <fgColor rgb="FFDA9694"/>
        <bgColor indexed="64"/>
      </patternFill>
    </fill>
    <fill>
      <patternFill patternType="solid">
        <fgColor rgb="FFB8CCE4"/>
        <bgColor indexed="64"/>
      </patternFill>
    </fill>
    <fill>
      <patternFill patternType="solid">
        <fgColor theme="6" tint="0.59999389629810485"/>
        <bgColor indexed="64"/>
      </patternFill>
    </fill>
    <fill>
      <patternFill patternType="solid">
        <fgColor rgb="FF99CCFB"/>
        <bgColor indexed="64"/>
      </patternFill>
    </fill>
    <fill>
      <patternFill patternType="solid">
        <fgColor rgb="FFE6B8B7"/>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8DB4E2"/>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rgb="FF000000"/>
      </right>
      <top style="thin">
        <color auto="1"/>
      </top>
      <bottom/>
      <diagonal/>
    </border>
    <border>
      <left/>
      <right/>
      <top style="thin">
        <color auto="1"/>
      </top>
      <bottom/>
      <diagonal/>
    </border>
    <border>
      <left/>
      <right style="thin">
        <color auto="1"/>
      </right>
      <top/>
      <bottom/>
      <diagonal/>
    </border>
    <border>
      <left style="thin">
        <color auto="1"/>
      </left>
      <right style="thin">
        <color rgb="FF000000"/>
      </right>
      <top style="thin">
        <color auto="1"/>
      </top>
      <bottom style="thin">
        <color auto="1"/>
      </bottom>
      <diagonal/>
    </border>
    <border>
      <left style="medium">
        <color auto="1"/>
      </left>
      <right/>
      <top style="medium">
        <color auto="1"/>
      </top>
      <bottom style="thin">
        <color auto="1"/>
      </bottom>
      <diagonal/>
    </border>
    <border>
      <left style="medium">
        <color auto="1"/>
      </left>
      <right style="thin">
        <color auto="1"/>
      </right>
      <top/>
      <bottom style="thin">
        <color auto="1"/>
      </bottom>
      <diagonal/>
    </border>
    <border>
      <left/>
      <right style="medium">
        <color auto="1"/>
      </right>
      <top/>
      <bottom style="thin">
        <color auto="1"/>
      </bottom>
      <diagonal/>
    </border>
    <border>
      <left style="medium">
        <color auto="1"/>
      </left>
      <right style="thin">
        <color auto="1"/>
      </right>
      <top/>
      <bottom style="medium">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style="thin">
        <color auto="1"/>
      </right>
      <top/>
      <bottom/>
      <diagonal/>
    </border>
    <border>
      <left/>
      <right style="medium">
        <color auto="1"/>
      </right>
      <top/>
      <bottom/>
      <diagonal/>
    </border>
    <border>
      <left style="thin">
        <color auto="1"/>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thin">
        <color auto="1"/>
      </top>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2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364">
    <xf numFmtId="0" fontId="0" fillId="0" borderId="0" xfId="0"/>
    <xf numFmtId="2" fontId="0" fillId="0" borderId="0" xfId="0" applyNumberFormat="1"/>
    <xf numFmtId="0" fontId="0" fillId="0" borderId="0" xfId="0" applyAlignment="1">
      <alignment horizontal="center"/>
    </xf>
    <xf numFmtId="0" fontId="0" fillId="0" borderId="1" xfId="0" applyBorder="1" applyAlignment="1">
      <alignment horizontal="center"/>
    </xf>
    <xf numFmtId="164" fontId="0" fillId="0" borderId="1" xfId="0" applyNumberFormat="1" applyBorder="1" applyAlignment="1">
      <alignment horizontal="center"/>
    </xf>
    <xf numFmtId="0" fontId="0" fillId="3"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1" fontId="0" fillId="0" borderId="1" xfId="0" applyNumberFormat="1" applyBorder="1" applyAlignment="1">
      <alignment horizontal="center"/>
    </xf>
    <xf numFmtId="0" fontId="0" fillId="5" borderId="1" xfId="0" applyFill="1" applyBorder="1" applyAlignment="1">
      <alignment horizontal="center"/>
    </xf>
    <xf numFmtId="0" fontId="0" fillId="4"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164" fontId="0" fillId="6" borderId="1" xfId="0" applyNumberFormat="1" applyFill="1" applyBorder="1" applyAlignment="1">
      <alignment horizontal="center"/>
    </xf>
    <xf numFmtId="2" fontId="0" fillId="2" borderId="1" xfId="0" applyNumberFormat="1" applyFill="1" applyBorder="1" applyAlignment="1" applyProtection="1">
      <alignment horizontal="center"/>
      <protection locked="0"/>
    </xf>
    <xf numFmtId="2" fontId="0" fillId="0" borderId="1" xfId="0" applyNumberFormat="1" applyBorder="1" applyAlignment="1">
      <alignment horizontal="center"/>
    </xf>
    <xf numFmtId="164" fontId="0" fillId="2" borderId="1"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0" fontId="0" fillId="4" borderId="12" xfId="0" applyFill="1" applyBorder="1" applyAlignment="1">
      <alignment horizontal="center"/>
    </xf>
    <xf numFmtId="0" fontId="0" fillId="4" borderId="16" xfId="0" applyFill="1" applyBorder="1" applyAlignment="1">
      <alignment horizontal="center"/>
    </xf>
    <xf numFmtId="1" fontId="0" fillId="0" borderId="3" xfId="0" applyNumberFormat="1" applyBorder="1" applyAlignment="1">
      <alignment horizontal="center"/>
    </xf>
    <xf numFmtId="0" fontId="6" fillId="8" borderId="17" xfId="0" applyFont="1" applyFill="1" applyBorder="1" applyAlignment="1">
      <alignment horizontal="center"/>
    </xf>
    <xf numFmtId="0" fontId="6" fillId="9" borderId="17" xfId="0" applyFont="1" applyFill="1" applyBorder="1" applyAlignment="1">
      <alignment horizontal="center"/>
    </xf>
    <xf numFmtId="0" fontId="6" fillId="9" borderId="2" xfId="0" applyFont="1" applyFill="1" applyBorder="1" applyAlignment="1">
      <alignment horizontal="center"/>
    </xf>
    <xf numFmtId="0" fontId="6" fillId="8" borderId="11" xfId="0" applyFont="1" applyFill="1" applyBorder="1" applyAlignment="1">
      <alignment horizontal="center"/>
    </xf>
    <xf numFmtId="0" fontId="6" fillId="9" borderId="11" xfId="0" applyFont="1" applyFill="1" applyBorder="1" applyAlignment="1">
      <alignment horizontal="center"/>
    </xf>
    <xf numFmtId="0" fontId="6" fillId="9" borderId="14" xfId="0" applyFont="1" applyFill="1" applyBorder="1" applyAlignment="1">
      <alignment horizontal="center"/>
    </xf>
    <xf numFmtId="0" fontId="6" fillId="8" borderId="15" xfId="0" applyFont="1" applyFill="1" applyBorder="1" applyAlignment="1">
      <alignment horizontal="center"/>
    </xf>
    <xf numFmtId="0" fontId="6" fillId="9" borderId="3" xfId="0" applyFont="1" applyFill="1" applyBorder="1" applyAlignment="1">
      <alignment horizontal="center"/>
    </xf>
    <xf numFmtId="1" fontId="6" fillId="0" borderId="11" xfId="0" applyNumberFormat="1" applyFont="1" applyBorder="1" applyAlignment="1">
      <alignment horizontal="center"/>
    </xf>
    <xf numFmtId="164" fontId="6" fillId="0" borderId="11" xfId="0" applyNumberFormat="1" applyFont="1" applyBorder="1" applyAlignment="1">
      <alignment horizontal="center"/>
    </xf>
    <xf numFmtId="2" fontId="6" fillId="0" borderId="3" xfId="0" applyNumberFormat="1" applyFont="1" applyBorder="1" applyAlignment="1">
      <alignment horizontal="center"/>
    </xf>
    <xf numFmtId="1" fontId="6" fillId="13" borderId="3" xfId="0" applyNumberFormat="1" applyFont="1" applyFill="1" applyBorder="1" applyAlignment="1" applyProtection="1">
      <alignment horizontal="center"/>
      <protection locked="0"/>
    </xf>
    <xf numFmtId="1" fontId="6" fillId="13" borderId="11" xfId="0" applyNumberFormat="1" applyFont="1" applyFill="1" applyBorder="1" applyAlignment="1" applyProtection="1">
      <alignment horizontal="center"/>
      <protection locked="0"/>
    </xf>
    <xf numFmtId="0" fontId="6" fillId="14" borderId="2" xfId="0" applyFont="1" applyFill="1" applyBorder="1" applyAlignment="1">
      <alignment horizontal="center"/>
    </xf>
    <xf numFmtId="0" fontId="6" fillId="14" borderId="1" xfId="0" applyFont="1" applyFill="1" applyBorder="1" applyAlignment="1">
      <alignment horizontal="center"/>
    </xf>
    <xf numFmtId="0" fontId="6" fillId="14" borderId="14" xfId="0" applyFont="1" applyFill="1" applyBorder="1" applyAlignment="1">
      <alignment horizontal="center"/>
    </xf>
    <xf numFmtId="0" fontId="6" fillId="14" borderId="11" xfId="0" applyFont="1" applyFill="1" applyBorder="1" applyAlignment="1">
      <alignment horizontal="center"/>
    </xf>
    <xf numFmtId="1" fontId="6" fillId="11" borderId="11" xfId="0" applyNumberFormat="1" applyFont="1" applyFill="1" applyBorder="1" applyAlignment="1">
      <alignment horizontal="center"/>
    </xf>
    <xf numFmtId="0" fontId="2" fillId="0" borderId="0" xfId="37" applyAlignment="1">
      <alignment horizontal="center"/>
    </xf>
    <xf numFmtId="49" fontId="0" fillId="4" borderId="3" xfId="0" applyNumberFormat="1" applyFill="1" applyBorder="1" applyAlignment="1">
      <alignment horizontal="center"/>
    </xf>
    <xf numFmtId="0" fontId="0" fillId="2" borderId="1" xfId="0" applyFill="1" applyBorder="1" applyAlignment="1" applyProtection="1">
      <alignment horizontal="center"/>
      <protection locked="0"/>
    </xf>
    <xf numFmtId="0" fontId="0" fillId="17" borderId="3" xfId="0" applyFill="1" applyBorder="1" applyAlignment="1">
      <alignment horizontal="center"/>
    </xf>
    <xf numFmtId="0" fontId="9" fillId="8" borderId="0" xfId="0" applyFont="1" applyFill="1" applyAlignment="1">
      <alignment horizontal="center"/>
    </xf>
    <xf numFmtId="0" fontId="7" fillId="9" borderId="17" xfId="0" applyFont="1" applyFill="1" applyBorder="1" applyAlignment="1">
      <alignment horizontal="center"/>
    </xf>
    <xf numFmtId="0" fontId="10" fillId="0" borderId="0" xfId="0" applyFont="1" applyAlignment="1">
      <alignment horizontal="center"/>
    </xf>
    <xf numFmtId="0" fontId="7" fillId="9" borderId="2" xfId="0" applyFont="1" applyFill="1" applyBorder="1" applyAlignment="1">
      <alignment horizontal="center"/>
    </xf>
    <xf numFmtId="0" fontId="7" fillId="18" borderId="2" xfId="0" applyFont="1" applyFill="1" applyBorder="1" applyAlignment="1">
      <alignment horizontal="center"/>
    </xf>
    <xf numFmtId="0" fontId="7" fillId="9" borderId="16" xfId="0" applyFont="1" applyFill="1" applyBorder="1" applyAlignment="1">
      <alignment horizontal="center"/>
    </xf>
    <xf numFmtId="0" fontId="7" fillId="9" borderId="1" xfId="0" applyFont="1" applyFill="1" applyBorder="1" applyAlignment="1">
      <alignment horizontal="center"/>
    </xf>
    <xf numFmtId="0" fontId="7" fillId="9" borderId="10" xfId="0" applyFont="1" applyFill="1" applyBorder="1" applyAlignment="1">
      <alignment horizontal="center"/>
    </xf>
    <xf numFmtId="0" fontId="7" fillId="18" borderId="10" xfId="0" applyFont="1" applyFill="1" applyBorder="1" applyAlignment="1">
      <alignment horizontal="center"/>
    </xf>
    <xf numFmtId="0" fontId="7" fillId="18" borderId="1" xfId="0" applyFont="1" applyFill="1" applyBorder="1" applyAlignment="1">
      <alignment horizontal="center"/>
    </xf>
    <xf numFmtId="0" fontId="11" fillId="0" borderId="11" xfId="0" applyFont="1" applyBorder="1" applyAlignment="1">
      <alignment horizontal="center"/>
    </xf>
    <xf numFmtId="164" fontId="11" fillId="0" borderId="11" xfId="0" applyNumberFormat="1" applyFont="1" applyBorder="1" applyAlignment="1">
      <alignment horizontal="center"/>
    </xf>
    <xf numFmtId="0" fontId="6" fillId="20" borderId="1" xfId="0" applyFont="1" applyFill="1" applyBorder="1" applyAlignment="1" applyProtection="1">
      <alignment horizontal="center"/>
      <protection locked="0"/>
    </xf>
    <xf numFmtId="2" fontId="6" fillId="10" borderId="14" xfId="0" applyNumberFormat="1" applyFont="1" applyFill="1" applyBorder="1" applyAlignment="1">
      <alignment horizontal="center"/>
    </xf>
    <xf numFmtId="0" fontId="6" fillId="20" borderId="3" xfId="0" applyFont="1" applyFill="1" applyBorder="1" applyAlignment="1" applyProtection="1">
      <alignment horizontal="center"/>
      <protection locked="0"/>
    </xf>
    <xf numFmtId="2" fontId="6" fillId="10" borderId="11" xfId="0" applyNumberFormat="1" applyFont="1" applyFill="1" applyBorder="1" applyAlignment="1">
      <alignment horizontal="center"/>
    </xf>
    <xf numFmtId="0" fontId="11" fillId="0" borderId="3" xfId="0" applyFont="1" applyBorder="1" applyAlignment="1">
      <alignment horizontal="center"/>
    </xf>
    <xf numFmtId="164" fontId="7" fillId="0" borderId="0" xfId="0" applyNumberFormat="1" applyFont="1" applyAlignment="1">
      <alignment horizontal="center"/>
    </xf>
    <xf numFmtId="164" fontId="6" fillId="0" borderId="3" xfId="0" applyNumberFormat="1" applyFont="1" applyBorder="1" applyAlignment="1">
      <alignment horizontal="center"/>
    </xf>
    <xf numFmtId="0" fontId="12" fillId="0" borderId="11" xfId="0" applyFont="1" applyBorder="1" applyAlignment="1">
      <alignment horizontal="center"/>
    </xf>
    <xf numFmtId="164" fontId="12" fillId="0" borderId="11" xfId="0" applyNumberFormat="1" applyFont="1" applyBorder="1" applyAlignment="1">
      <alignment horizontal="center"/>
    </xf>
    <xf numFmtId="164" fontId="7" fillId="0" borderId="3" xfId="0" applyNumberFormat="1" applyFont="1" applyBorder="1" applyAlignment="1">
      <alignment horizontal="center"/>
    </xf>
    <xf numFmtId="164" fontId="7" fillId="0" borderId="11" xfId="0" applyNumberFormat="1" applyFont="1" applyBorder="1" applyAlignment="1">
      <alignment horizontal="center"/>
    </xf>
    <xf numFmtId="0" fontId="12" fillId="19" borderId="1" xfId="0" applyFont="1" applyFill="1" applyBorder="1" applyAlignment="1">
      <alignment horizontal="right"/>
    </xf>
    <xf numFmtId="0" fontId="12" fillId="13" borderId="14" xfId="0" applyFont="1" applyFill="1" applyBorder="1" applyAlignment="1" applyProtection="1">
      <alignment horizontal="center"/>
      <protection locked="0"/>
    </xf>
    <xf numFmtId="0" fontId="6" fillId="19" borderId="1" xfId="0" applyFont="1" applyFill="1" applyBorder="1" applyAlignment="1">
      <alignment horizontal="center"/>
    </xf>
    <xf numFmtId="0" fontId="6" fillId="21" borderId="22" xfId="0" applyFont="1" applyFill="1" applyBorder="1" applyAlignment="1">
      <alignment horizontal="center"/>
    </xf>
    <xf numFmtId="0" fontId="9" fillId="21" borderId="0" xfId="0" applyFont="1" applyFill="1" applyAlignment="1">
      <alignment horizontal="center"/>
    </xf>
    <xf numFmtId="0" fontId="9" fillId="21" borderId="21" xfId="0" applyFont="1" applyFill="1" applyBorder="1" applyAlignment="1">
      <alignment horizontal="center"/>
    </xf>
    <xf numFmtId="0" fontId="6" fillId="21" borderId="1" xfId="0" applyFont="1" applyFill="1" applyBorder="1" applyAlignment="1">
      <alignment horizontal="center"/>
    </xf>
    <xf numFmtId="0" fontId="6" fillId="21" borderId="11" xfId="0" applyFont="1" applyFill="1" applyBorder="1" applyAlignment="1">
      <alignment horizontal="center"/>
    </xf>
    <xf numFmtId="0" fontId="6" fillId="23" borderId="24" xfId="0" applyFont="1" applyFill="1" applyBorder="1" applyAlignment="1">
      <alignment horizontal="center"/>
    </xf>
    <xf numFmtId="0" fontId="6" fillId="23" borderId="25" xfId="0" applyFont="1" applyFill="1" applyBorder="1" applyAlignment="1">
      <alignment horizontal="center"/>
    </xf>
    <xf numFmtId="0" fontId="6" fillId="24" borderId="24" xfId="0" applyFont="1" applyFill="1" applyBorder="1" applyAlignment="1" applyProtection="1">
      <alignment horizontal="center"/>
      <protection locked="0"/>
    </xf>
    <xf numFmtId="0" fontId="6" fillId="24" borderId="25" xfId="0" applyFont="1" applyFill="1" applyBorder="1" applyAlignment="1" applyProtection="1">
      <alignment horizontal="center"/>
      <protection locked="0"/>
    </xf>
    <xf numFmtId="0" fontId="6" fillId="9" borderId="25" xfId="0" applyFont="1" applyFill="1" applyBorder="1" applyAlignment="1">
      <alignment horizontal="center"/>
    </xf>
    <xf numFmtId="0" fontId="6" fillId="24" borderId="26" xfId="0" applyFont="1" applyFill="1" applyBorder="1" applyAlignment="1" applyProtection="1">
      <alignment horizontal="center"/>
      <protection locked="0"/>
    </xf>
    <xf numFmtId="165" fontId="6" fillId="0" borderId="9" xfId="0" applyNumberFormat="1" applyFont="1" applyBorder="1" applyAlignment="1">
      <alignment horizontal="center"/>
    </xf>
    <xf numFmtId="166" fontId="6" fillId="23" borderId="27" xfId="0" applyNumberFormat="1" applyFont="1" applyFill="1" applyBorder="1" applyAlignment="1">
      <alignment horizontal="center"/>
    </xf>
    <xf numFmtId="0" fontId="6" fillId="23" borderId="28" xfId="0" applyFont="1" applyFill="1" applyBorder="1" applyAlignment="1">
      <alignment horizontal="center"/>
    </xf>
    <xf numFmtId="2" fontId="6" fillId="0" borderId="9" xfId="0" applyNumberFormat="1" applyFont="1" applyBorder="1" applyAlignment="1">
      <alignment horizontal="center"/>
    </xf>
    <xf numFmtId="1" fontId="6" fillId="0" borderId="1" xfId="0" applyNumberFormat="1" applyFont="1" applyBorder="1" applyAlignment="1">
      <alignment horizontal="center"/>
    </xf>
    <xf numFmtId="0" fontId="6" fillId="4" borderId="1" xfId="0" applyFont="1" applyFill="1" applyBorder="1" applyAlignment="1">
      <alignment horizontal="center"/>
    </xf>
    <xf numFmtId="0" fontId="6" fillId="3" borderId="1" xfId="0" applyFont="1" applyFill="1" applyBorder="1" applyAlignment="1">
      <alignment horizontal="center"/>
    </xf>
    <xf numFmtId="0" fontId="6" fillId="2" borderId="1" xfId="0" applyFont="1" applyFill="1" applyBorder="1" applyAlignment="1">
      <alignment horizontal="center"/>
    </xf>
    <xf numFmtId="0" fontId="6" fillId="12" borderId="14" xfId="0" applyFont="1" applyFill="1" applyBorder="1" applyAlignment="1">
      <alignment horizontal="center"/>
    </xf>
    <xf numFmtId="0" fontId="7" fillId="15" borderId="1" xfId="0" applyFont="1" applyFill="1" applyBorder="1" applyAlignment="1">
      <alignment horizontal="center"/>
    </xf>
    <xf numFmtId="0" fontId="6" fillId="19" borderId="1" xfId="0" applyFont="1" applyFill="1" applyBorder="1" applyAlignment="1">
      <alignment horizontal="right"/>
    </xf>
    <xf numFmtId="0" fontId="0" fillId="0" borderId="0" xfId="0"/>
    <xf numFmtId="0" fontId="0" fillId="3" borderId="1" xfId="0" applyFill="1" applyBorder="1" applyAlignment="1">
      <alignment horizontal="right"/>
    </xf>
    <xf numFmtId="0" fontId="0" fillId="27" borderId="1" xfId="0" applyFill="1" applyBorder="1" applyAlignment="1">
      <alignment horizontal="right"/>
    </xf>
    <xf numFmtId="0" fontId="20" fillId="3" borderId="1" xfId="0" applyFont="1" applyFill="1" applyBorder="1"/>
    <xf numFmtId="0" fontId="20" fillId="29" borderId="1" xfId="0" applyFont="1" applyFill="1" applyBorder="1"/>
    <xf numFmtId="0" fontId="20" fillId="28" borderId="1" xfId="0" applyFont="1" applyFill="1" applyBorder="1" applyAlignment="1" applyProtection="1">
      <alignment horizontal="center"/>
      <protection locked="0"/>
    </xf>
    <xf numFmtId="164" fontId="20" fillId="0" borderId="1" xfId="0" applyNumberFormat="1" applyFont="1" applyBorder="1" applyAlignment="1">
      <alignment horizontal="center"/>
    </xf>
    <xf numFmtId="0" fontId="0" fillId="30" borderId="1" xfId="0" applyFill="1" applyBorder="1" applyAlignment="1" applyProtection="1">
      <alignment horizontal="center"/>
      <protection locked="0"/>
    </xf>
    <xf numFmtId="0" fontId="0" fillId="28" borderId="1" xfId="0" applyFill="1" applyBorder="1" applyAlignment="1" applyProtection="1">
      <alignment horizontal="center"/>
      <protection locked="0"/>
    </xf>
    <xf numFmtId="1" fontId="20" fillId="0" borderId="1" xfId="0" applyNumberFormat="1" applyFont="1" applyBorder="1" applyAlignment="1">
      <alignment horizontal="center"/>
    </xf>
    <xf numFmtId="0" fontId="0" fillId="3" borderId="14" xfId="0" applyFill="1" applyBorder="1" applyAlignment="1">
      <alignment horizontal="center"/>
    </xf>
    <xf numFmtId="0" fontId="0" fillId="3" borderId="12" xfId="0" applyFill="1" applyBorder="1" applyAlignment="1">
      <alignment horizontal="center"/>
    </xf>
    <xf numFmtId="0" fontId="0" fillId="3" borderId="18" xfId="0" applyFill="1" applyBorder="1" applyAlignment="1">
      <alignment horizontal="center"/>
    </xf>
    <xf numFmtId="0" fontId="0" fillId="3" borderId="16" xfId="0" applyFill="1" applyBorder="1" applyAlignment="1">
      <alignment horizontal="center"/>
    </xf>
    <xf numFmtId="0" fontId="0" fillId="15" borderId="17" xfId="0" applyFill="1" applyBorder="1" applyAlignment="1">
      <alignment horizontal="center"/>
    </xf>
    <xf numFmtId="0" fontId="0" fillId="15" borderId="11" xfId="0" applyFill="1" applyBorder="1" applyAlignment="1">
      <alignment horizontal="center"/>
    </xf>
    <xf numFmtId="0" fontId="0" fillId="2" borderId="3" xfId="0" applyFill="1" applyBorder="1" applyAlignment="1" applyProtection="1">
      <alignment horizontal="center"/>
      <protection locked="0"/>
    </xf>
    <xf numFmtId="0" fontId="0" fillId="16" borderId="18" xfId="0" applyFill="1" applyBorder="1" applyAlignment="1">
      <alignment horizontal="left"/>
    </xf>
    <xf numFmtId="0" fontId="0" fillId="16" borderId="16" xfId="0" applyFill="1" applyBorder="1" applyAlignment="1">
      <alignment horizontal="left"/>
    </xf>
    <xf numFmtId="0" fontId="0" fillId="3" borderId="21" xfId="0" applyFill="1" applyBorder="1" applyAlignment="1">
      <alignment horizontal="center"/>
    </xf>
    <xf numFmtId="0" fontId="0" fillId="3" borderId="11" xfId="0" applyFill="1" applyBorder="1" applyAlignment="1">
      <alignment horizontal="center"/>
    </xf>
    <xf numFmtId="0" fontId="0" fillId="3" borderId="17" xfId="0" applyFill="1" applyBorder="1" applyAlignment="1">
      <alignment horizontal="center"/>
    </xf>
    <xf numFmtId="0" fontId="0" fillId="31" borderId="12" xfId="0" applyFill="1" applyBorder="1" applyAlignment="1">
      <alignment horizontal="center"/>
    </xf>
    <xf numFmtId="0" fontId="0" fillId="31" borderId="2" xfId="0" applyFill="1" applyBorder="1" applyAlignment="1">
      <alignment horizontal="center"/>
    </xf>
    <xf numFmtId="164" fontId="11" fillId="10" borderId="11" xfId="0" applyNumberFormat="1" applyFont="1" applyFill="1" applyBorder="1" applyAlignment="1">
      <alignment horizontal="center"/>
    </xf>
    <xf numFmtId="164" fontId="8" fillId="0" borderId="0" xfId="0" applyNumberFormat="1" applyFont="1" applyBorder="1" applyAlignment="1">
      <alignment horizontal="center"/>
    </xf>
    <xf numFmtId="0" fontId="0" fillId="32" borderId="1" xfId="0" applyFill="1" applyBorder="1" applyAlignment="1">
      <alignment horizontal="center"/>
    </xf>
    <xf numFmtId="0" fontId="0" fillId="16" borderId="1" xfId="0" applyFill="1" applyBorder="1" applyAlignment="1">
      <alignment horizontal="center"/>
    </xf>
    <xf numFmtId="0" fontId="20" fillId="3" borderId="1" xfId="0" applyFont="1" applyFill="1" applyBorder="1" applyAlignment="1">
      <alignment horizontal="center"/>
    </xf>
    <xf numFmtId="0" fontId="22" fillId="7" borderId="1" xfId="0" applyFont="1" applyFill="1" applyBorder="1" applyAlignment="1">
      <alignment horizontal="center"/>
    </xf>
    <xf numFmtId="0" fontId="20" fillId="5" borderId="1" xfId="0" applyFont="1" applyFill="1" applyBorder="1" applyAlignment="1">
      <alignment horizontal="center"/>
    </xf>
    <xf numFmtId="0" fontId="21" fillId="7" borderId="2" xfId="0" applyFont="1" applyFill="1" applyBorder="1" applyAlignment="1">
      <alignment horizontal="center"/>
    </xf>
    <xf numFmtId="0" fontId="0" fillId="33" borderId="0" xfId="0" applyFill="1"/>
    <xf numFmtId="0" fontId="2" fillId="33" borderId="0" xfId="37" applyFill="1" applyAlignment="1">
      <alignment horizontal="center"/>
    </xf>
    <xf numFmtId="0" fontId="0" fillId="6" borderId="0" xfId="0" applyFill="1"/>
    <xf numFmtId="0" fontId="7" fillId="33" borderId="0" xfId="0" applyFont="1" applyFill="1"/>
    <xf numFmtId="0" fontId="0" fillId="33" borderId="0" xfId="0" applyFill="1" applyAlignment="1">
      <alignment horizontal="center"/>
    </xf>
    <xf numFmtId="0" fontId="0" fillId="33" borderId="10" xfId="0" applyFill="1" applyBorder="1" applyAlignment="1">
      <alignment horizontal="center"/>
    </xf>
    <xf numFmtId="0" fontId="0" fillId="33" borderId="1" xfId="0" applyFill="1" applyBorder="1" applyAlignment="1">
      <alignment horizontal="center"/>
    </xf>
    <xf numFmtId="0" fontId="0" fillId="33" borderId="1" xfId="0" applyFill="1" applyBorder="1"/>
    <xf numFmtId="0" fontId="0" fillId="33" borderId="2" xfId="0" applyFill="1" applyBorder="1" applyAlignment="1">
      <alignment horizontal="center"/>
    </xf>
    <xf numFmtId="0" fontId="0" fillId="33" borderId="13" xfId="0" applyFill="1" applyBorder="1" applyAlignment="1">
      <alignment horizontal="center"/>
    </xf>
    <xf numFmtId="0" fontId="0" fillId="33" borderId="14" xfId="0" applyFill="1" applyBorder="1" applyAlignment="1">
      <alignment horizontal="center"/>
    </xf>
    <xf numFmtId="0" fontId="2" fillId="33" borderId="0" xfId="37" applyFill="1"/>
    <xf numFmtId="0" fontId="6" fillId="33" borderId="0" xfId="0" applyFont="1" applyFill="1"/>
    <xf numFmtId="164" fontId="17" fillId="33" borderId="0" xfId="0" applyNumberFormat="1" applyFont="1" applyFill="1" applyAlignment="1">
      <alignment horizontal="center"/>
    </xf>
    <xf numFmtId="0" fontId="0" fillId="33" borderId="20" xfId="0" applyFill="1" applyBorder="1"/>
    <xf numFmtId="0" fontId="0" fillId="33" borderId="17" xfId="0" applyFill="1" applyBorder="1" applyAlignment="1">
      <alignment horizontal="center"/>
    </xf>
    <xf numFmtId="0" fontId="6" fillId="9" borderId="1" xfId="0" applyFont="1" applyFill="1" applyBorder="1" applyAlignment="1">
      <alignment horizontal="center"/>
    </xf>
    <xf numFmtId="1" fontId="6" fillId="13" borderId="12" xfId="0" applyNumberFormat="1" applyFont="1" applyFill="1" applyBorder="1" applyAlignment="1" applyProtection="1">
      <alignment horizontal="center"/>
      <protection locked="0"/>
    </xf>
    <xf numFmtId="2" fontId="6" fillId="0" borderId="12" xfId="0" applyNumberFormat="1" applyFont="1" applyBorder="1" applyAlignment="1">
      <alignment horizontal="center"/>
    </xf>
    <xf numFmtId="2" fontId="23" fillId="33" borderId="0" xfId="0" applyNumberFormat="1" applyFont="1" applyFill="1" applyAlignment="1">
      <alignment horizontal="center"/>
    </xf>
    <xf numFmtId="165" fontId="16" fillId="33" borderId="0" xfId="0" applyNumberFormat="1" applyFont="1" applyFill="1" applyAlignment="1">
      <alignment horizontal="center"/>
    </xf>
    <xf numFmtId="0" fontId="2" fillId="6" borderId="0" xfId="37" applyFill="1"/>
    <xf numFmtId="1" fontId="2" fillId="11" borderId="11" xfId="37" applyNumberFormat="1" applyFill="1" applyBorder="1" applyAlignment="1">
      <alignment horizontal="center"/>
    </xf>
    <xf numFmtId="164" fontId="24" fillId="33" borderId="0" xfId="0" applyNumberFormat="1" applyFont="1" applyFill="1" applyAlignment="1">
      <alignment horizontal="center"/>
    </xf>
    <xf numFmtId="0" fontId="0" fillId="6" borderId="0" xfId="0" applyFill="1" applyBorder="1"/>
    <xf numFmtId="0" fontId="0" fillId="30" borderId="31" xfId="0" applyFill="1" applyBorder="1" applyAlignment="1" applyProtection="1">
      <alignment horizontal="center"/>
      <protection locked="0"/>
    </xf>
    <xf numFmtId="0" fontId="0" fillId="30" borderId="32" xfId="0" applyFill="1" applyBorder="1" applyAlignment="1" applyProtection="1">
      <alignment horizontal="center"/>
      <protection locked="0"/>
    </xf>
    <xf numFmtId="1" fontId="0" fillId="0" borderId="32" xfId="0" applyNumberFormat="1" applyBorder="1" applyAlignment="1">
      <alignment horizontal="center"/>
    </xf>
    <xf numFmtId="1" fontId="0" fillId="6" borderId="33" xfId="0" applyNumberFormat="1" applyFill="1" applyBorder="1" applyAlignment="1">
      <alignment horizontal="center"/>
    </xf>
    <xf numFmtId="0" fontId="0" fillId="3" borderId="27" xfId="0" applyFill="1" applyBorder="1" applyAlignment="1">
      <alignment horizontal="right"/>
    </xf>
    <xf numFmtId="0" fontId="0" fillId="6" borderId="0" xfId="0" applyFill="1" applyBorder="1" applyAlignment="1">
      <alignment horizontal="right"/>
    </xf>
    <xf numFmtId="0" fontId="0" fillId="3" borderId="30" xfId="0" applyFill="1" applyBorder="1" applyAlignment="1">
      <alignment horizontal="right"/>
    </xf>
    <xf numFmtId="0" fontId="0" fillId="15" borderId="27" xfId="0" applyFill="1" applyBorder="1" applyAlignment="1">
      <alignment horizontal="right"/>
    </xf>
    <xf numFmtId="0" fontId="0" fillId="29" borderId="34" xfId="0" applyFill="1" applyBorder="1" applyAlignment="1">
      <alignment horizontal="right"/>
    </xf>
    <xf numFmtId="0" fontId="0" fillId="33" borderId="35" xfId="0" applyFill="1" applyBorder="1" applyAlignment="1">
      <alignment horizontal="right"/>
    </xf>
    <xf numFmtId="1" fontId="0" fillId="6" borderId="36" xfId="0" applyNumberFormat="1" applyFill="1" applyBorder="1" applyAlignment="1">
      <alignment horizontal="center"/>
    </xf>
    <xf numFmtId="0" fontId="0" fillId="6" borderId="0" xfId="0" applyFill="1" applyAlignment="1">
      <alignment horizontal="right"/>
    </xf>
    <xf numFmtId="0" fontId="25" fillId="23" borderId="3" xfId="0" applyFont="1" applyFill="1" applyBorder="1" applyAlignment="1">
      <alignment horizontal="center"/>
    </xf>
    <xf numFmtId="0" fontId="25" fillId="24" borderId="3" xfId="0" applyFont="1" applyFill="1" applyBorder="1" applyAlignment="1" applyProtection="1">
      <alignment horizontal="center"/>
      <protection locked="0"/>
    </xf>
    <xf numFmtId="0" fontId="19" fillId="7" borderId="38" xfId="0" applyFont="1" applyFill="1" applyBorder="1" applyAlignment="1">
      <alignment horizontal="center"/>
    </xf>
    <xf numFmtId="0" fontId="19" fillId="7" borderId="39" xfId="0" applyFont="1" applyFill="1" applyBorder="1" applyAlignment="1">
      <alignment horizontal="center"/>
    </xf>
    <xf numFmtId="0" fontId="0" fillId="17" borderId="1" xfId="0" applyFill="1" applyBorder="1" applyAlignment="1">
      <alignment horizontal="center"/>
    </xf>
    <xf numFmtId="0" fontId="19" fillId="17" borderId="38" xfId="0" applyFont="1" applyFill="1" applyBorder="1" applyAlignment="1">
      <alignment horizontal="center"/>
    </xf>
    <xf numFmtId="0" fontId="19" fillId="17" borderId="39" xfId="0" applyFont="1" applyFill="1" applyBorder="1" applyAlignment="1">
      <alignment horizontal="center"/>
    </xf>
    <xf numFmtId="0" fontId="25" fillId="34" borderId="3" xfId="0" applyFont="1" applyFill="1" applyBorder="1" applyAlignment="1">
      <alignment horizontal="center"/>
    </xf>
    <xf numFmtId="0" fontId="25" fillId="28" borderId="1" xfId="0" applyFont="1" applyFill="1" applyBorder="1" applyAlignment="1" applyProtection="1">
      <alignment horizontal="center"/>
      <protection locked="0"/>
    </xf>
    <xf numFmtId="0" fontId="0" fillId="17" borderId="1" xfId="0" applyFont="1" applyFill="1" applyBorder="1" applyAlignment="1">
      <alignment horizontal="center"/>
    </xf>
    <xf numFmtId="0" fontId="25" fillId="9" borderId="3" xfId="0" applyFont="1" applyFill="1" applyBorder="1" applyAlignment="1">
      <alignment horizontal="center"/>
    </xf>
    <xf numFmtId="165" fontId="0" fillId="6" borderId="1" xfId="0" applyNumberFormat="1" applyFont="1" applyFill="1" applyBorder="1" applyAlignment="1">
      <alignment horizontal="center"/>
    </xf>
    <xf numFmtId="165" fontId="25" fillId="0" borderId="3" xfId="0" applyNumberFormat="1" applyFont="1" applyBorder="1" applyAlignment="1">
      <alignment horizontal="center"/>
    </xf>
    <xf numFmtId="0" fontId="0" fillId="0" borderId="0" xfId="0" applyFont="1"/>
    <xf numFmtId="0" fontId="0" fillId="6" borderId="0" xfId="0" applyFont="1" applyFill="1"/>
    <xf numFmtId="0" fontId="6" fillId="25" borderId="11" xfId="0" applyFont="1" applyFill="1" applyBorder="1" applyAlignment="1" applyProtection="1">
      <alignment horizontal="center"/>
      <protection locked="0"/>
    </xf>
    <xf numFmtId="0" fontId="6" fillId="15" borderId="3" xfId="0" applyFont="1" applyFill="1" applyBorder="1" applyAlignment="1">
      <alignment horizontal="center"/>
    </xf>
    <xf numFmtId="0" fontId="6" fillId="25" borderId="1" xfId="0" applyFont="1" applyFill="1" applyBorder="1" applyAlignment="1" applyProtection="1">
      <alignment horizontal="center"/>
      <protection locked="0"/>
    </xf>
    <xf numFmtId="0" fontId="0" fillId="3" borderId="1" xfId="0" applyFill="1" applyBorder="1" applyAlignment="1">
      <alignment horizontal="right"/>
    </xf>
    <xf numFmtId="0" fontId="5" fillId="6" borderId="0" xfId="0" applyFont="1" applyFill="1" applyAlignment="1">
      <alignment horizontal="center"/>
    </xf>
    <xf numFmtId="0" fontId="0" fillId="0" borderId="1" xfId="0" applyBorder="1"/>
    <xf numFmtId="0" fontId="0" fillId="4" borderId="1" xfId="0" applyFill="1" applyBorder="1" applyAlignment="1">
      <alignment horizontal="right"/>
    </xf>
    <xf numFmtId="0" fontId="0" fillId="16" borderId="2" xfId="0" applyFill="1" applyBorder="1" applyAlignment="1">
      <alignment horizontal="right"/>
    </xf>
    <xf numFmtId="0" fontId="0" fillId="16" borderId="3" xfId="0" applyFill="1" applyBorder="1" applyAlignment="1">
      <alignment horizontal="right"/>
    </xf>
    <xf numFmtId="0" fontId="0" fillId="30" borderId="1" xfId="0" applyFill="1" applyBorder="1" applyProtection="1">
      <protection locked="0"/>
    </xf>
    <xf numFmtId="0" fontId="0" fillId="17" borderId="1" xfId="0" applyFill="1" applyBorder="1" applyAlignment="1">
      <alignment horizontal="right"/>
    </xf>
    <xf numFmtId="0" fontId="0" fillId="7" borderId="1" xfId="0" applyFill="1" applyBorder="1" applyAlignment="1">
      <alignment horizontal="right"/>
    </xf>
    <xf numFmtId="0" fontId="0" fillId="3" borderId="41" xfId="0" applyFill="1" applyBorder="1" applyAlignment="1">
      <alignment horizontal="right"/>
    </xf>
    <xf numFmtId="0" fontId="0" fillId="0" borderId="42" xfId="0" applyBorder="1" applyAlignment="1" applyProtection="1">
      <alignment horizontal="center"/>
      <protection locked="0"/>
    </xf>
    <xf numFmtId="0" fontId="0" fillId="3" borderId="24" xfId="0" applyFill="1" applyBorder="1" applyAlignment="1">
      <alignment horizontal="right"/>
    </xf>
    <xf numFmtId="0" fontId="0" fillId="2" borderId="32" xfId="0" applyFill="1" applyBorder="1" applyAlignment="1" applyProtection="1">
      <alignment horizontal="center"/>
      <protection locked="0"/>
    </xf>
    <xf numFmtId="0" fontId="0" fillId="4" borderId="27" xfId="0" applyFill="1" applyBorder="1" applyAlignment="1">
      <alignment horizontal="right"/>
    </xf>
    <xf numFmtId="2" fontId="0" fillId="0" borderId="32" xfId="0" applyNumberFormat="1" applyBorder="1" applyAlignment="1">
      <alignment horizontal="center"/>
    </xf>
    <xf numFmtId="164" fontId="0" fillId="4" borderId="34" xfId="0" applyNumberFormat="1" applyFill="1" applyBorder="1" applyAlignment="1">
      <alignment horizontal="right"/>
    </xf>
    <xf numFmtId="0" fontId="6" fillId="13" borderId="28" xfId="0" applyFont="1" applyFill="1" applyBorder="1" applyAlignment="1" applyProtection="1">
      <alignment horizontal="center"/>
      <protection locked="0"/>
    </xf>
    <xf numFmtId="164" fontId="6" fillId="26" borderId="46" xfId="0" applyNumberFormat="1" applyFont="1" applyFill="1" applyBorder="1" applyAlignment="1" applyProtection="1">
      <alignment horizontal="center"/>
    </xf>
    <xf numFmtId="0" fontId="19" fillId="3" borderId="1" xfId="0" applyFont="1" applyFill="1" applyBorder="1" applyAlignment="1">
      <alignment horizontal="center"/>
    </xf>
    <xf numFmtId="0" fontId="0" fillId="3" borderId="1" xfId="0" applyFill="1" applyBorder="1" applyAlignment="1">
      <alignment horizontal="right"/>
    </xf>
    <xf numFmtId="0" fontId="24" fillId="0" borderId="0" xfId="0" applyFont="1" applyAlignment="1">
      <alignment horizontal="center"/>
    </xf>
    <xf numFmtId="49" fontId="0" fillId="0" borderId="1" xfId="0" applyNumberFormat="1" applyBorder="1" applyAlignment="1">
      <alignment horizontal="right"/>
    </xf>
    <xf numFmtId="9" fontId="0" fillId="0" borderId="1" xfId="0" applyNumberFormat="1" applyBorder="1" applyAlignment="1">
      <alignment horizontal="center"/>
    </xf>
    <xf numFmtId="49" fontId="21" fillId="3" borderId="1" xfId="0" applyNumberFormat="1" applyFont="1" applyFill="1" applyBorder="1" applyAlignment="1">
      <alignment horizontal="right"/>
    </xf>
    <xf numFmtId="49" fontId="21" fillId="0" borderId="1" xfId="0" applyNumberFormat="1" applyFont="1" applyBorder="1" applyAlignment="1">
      <alignment horizontal="right"/>
    </xf>
    <xf numFmtId="0" fontId="21" fillId="0" borderId="1" xfId="0" applyFont="1" applyBorder="1" applyAlignment="1">
      <alignment horizontal="center"/>
    </xf>
    <xf numFmtId="0" fontId="21" fillId="3" borderId="15" xfId="0" applyFont="1" applyFill="1" applyBorder="1" applyAlignment="1">
      <alignment horizontal="center"/>
    </xf>
    <xf numFmtId="0" fontId="0" fillId="2" borderId="15" xfId="0" applyFill="1" applyBorder="1" applyAlignment="1" applyProtection="1">
      <alignment horizontal="center"/>
      <protection locked="0"/>
    </xf>
    <xf numFmtId="2" fontId="0" fillId="0" borderId="33" xfId="0" applyNumberFormat="1" applyBorder="1" applyAlignment="1">
      <alignment horizontal="center"/>
    </xf>
    <xf numFmtId="164" fontId="0" fillId="2" borderId="3" xfId="0" applyNumberFormat="1" applyFill="1" applyBorder="1" applyAlignment="1" applyProtection="1">
      <alignment horizontal="center"/>
      <protection locked="0"/>
    </xf>
    <xf numFmtId="0" fontId="16" fillId="0" borderId="0" xfId="0" applyFont="1" applyAlignment="1">
      <alignment horizontal="center"/>
    </xf>
    <xf numFmtId="0" fontId="16" fillId="0" borderId="0" xfId="0" applyFont="1"/>
    <xf numFmtId="0" fontId="16" fillId="0" borderId="0" xfId="0" applyFont="1" applyAlignment="1">
      <alignment horizontal="left"/>
    </xf>
    <xf numFmtId="1" fontId="16" fillId="0" borderId="0" xfId="0" applyNumberFormat="1" applyFont="1" applyAlignment="1">
      <alignment horizontal="center"/>
    </xf>
    <xf numFmtId="0" fontId="16" fillId="0" borderId="0" xfId="0" applyFont="1" applyFill="1" applyBorder="1" applyAlignment="1">
      <alignment horizontal="left"/>
    </xf>
    <xf numFmtId="0" fontId="0" fillId="0" borderId="1" xfId="0" applyBorder="1" applyAlignment="1">
      <alignment horizontal="right"/>
    </xf>
    <xf numFmtId="166" fontId="0" fillId="0" borderId="1" xfId="0" applyNumberFormat="1" applyBorder="1" applyAlignment="1">
      <alignment horizontal="center"/>
    </xf>
    <xf numFmtId="0" fontId="0" fillId="3" borderId="1" xfId="0" applyFill="1" applyBorder="1" applyAlignment="1">
      <alignment horizontal="right"/>
    </xf>
    <xf numFmtId="165" fontId="0" fillId="2" borderId="1" xfId="0" applyNumberFormat="1" applyFill="1" applyBorder="1" applyAlignment="1" applyProtection="1">
      <alignment horizontal="center"/>
      <protection locked="0"/>
    </xf>
    <xf numFmtId="0" fontId="0" fillId="3" borderId="15" xfId="0" applyFill="1" applyBorder="1" applyAlignment="1">
      <alignment horizontal="center"/>
    </xf>
    <xf numFmtId="0" fontId="21" fillId="0" borderId="0" xfId="0" applyFont="1"/>
    <xf numFmtId="0" fontId="21" fillId="0" borderId="0" xfId="0" applyFont="1" applyAlignment="1">
      <alignment horizontal="right"/>
    </xf>
    <xf numFmtId="2" fontId="28" fillId="0" borderId="0" xfId="0" applyNumberFormat="1" applyFont="1"/>
    <xf numFmtId="1" fontId="28" fillId="0" borderId="0" xfId="0" applyNumberFormat="1" applyFont="1"/>
    <xf numFmtId="164" fontId="28" fillId="0" borderId="0" xfId="0" applyNumberFormat="1" applyFont="1"/>
    <xf numFmtId="2" fontId="21" fillId="0" borderId="0" xfId="0" applyNumberFormat="1" applyFont="1" applyAlignment="1">
      <alignment horizontal="right"/>
    </xf>
    <xf numFmtId="0" fontId="21" fillId="3" borderId="1" xfId="0" applyFont="1" applyFill="1" applyBorder="1" applyAlignment="1">
      <alignment horizontal="right"/>
    </xf>
    <xf numFmtId="0" fontId="21" fillId="30" borderId="1" xfId="0" applyFont="1" applyFill="1" applyBorder="1" applyProtection="1">
      <protection locked="0"/>
    </xf>
    <xf numFmtId="164" fontId="21" fillId="7" borderId="0" xfId="0" applyNumberFormat="1" applyFont="1" applyFill="1" applyAlignment="1">
      <alignment horizontal="center"/>
    </xf>
    <xf numFmtId="0" fontId="21" fillId="6" borderId="0" xfId="0" applyFont="1" applyFill="1" applyAlignment="1">
      <alignment horizontal="right"/>
    </xf>
    <xf numFmtId="165" fontId="21" fillId="0" borderId="0" xfId="0" applyNumberFormat="1" applyFont="1" applyAlignment="1">
      <alignment horizontal="right"/>
    </xf>
    <xf numFmtId="164" fontId="28" fillId="6" borderId="0" xfId="0" applyNumberFormat="1" applyFont="1" applyFill="1"/>
    <xf numFmtId="0" fontId="29" fillId="16" borderId="0" xfId="0" applyFont="1" applyFill="1"/>
    <xf numFmtId="0" fontId="0" fillId="16" borderId="0" xfId="0" applyFill="1"/>
    <xf numFmtId="0" fontId="0" fillId="16" borderId="0" xfId="0" applyFont="1" applyFill="1"/>
    <xf numFmtId="164" fontId="29" fillId="16" borderId="0" xfId="0" applyNumberFormat="1" applyFont="1" applyFill="1"/>
    <xf numFmtId="0" fontId="21" fillId="16" borderId="0" xfId="0" applyFont="1" applyFill="1" applyBorder="1" applyAlignment="1">
      <alignment horizontal="right"/>
    </xf>
    <xf numFmtId="0" fontId="21" fillId="16" borderId="0" xfId="0" applyFont="1" applyFill="1" applyBorder="1" applyProtection="1">
      <protection locked="0"/>
    </xf>
    <xf numFmtId="164" fontId="28" fillId="16" borderId="0" xfId="0" applyNumberFormat="1" applyFont="1" applyFill="1" applyBorder="1" applyAlignment="1">
      <alignment horizontal="center"/>
    </xf>
    <xf numFmtId="2" fontId="28" fillId="16" borderId="0" xfId="0" applyNumberFormat="1" applyFont="1" applyFill="1" applyBorder="1"/>
    <xf numFmtId="0" fontId="21" fillId="16" borderId="0" xfId="0" applyFont="1" applyFill="1" applyAlignment="1">
      <alignment horizontal="right"/>
    </xf>
    <xf numFmtId="2" fontId="16" fillId="0" borderId="0" xfId="0" applyNumberFormat="1" applyFont="1" applyAlignment="1">
      <alignment horizontal="center"/>
    </xf>
    <xf numFmtId="0" fontId="20" fillId="16" borderId="1" xfId="0" applyFont="1" applyFill="1" applyBorder="1" applyAlignment="1">
      <alignment horizontal="center"/>
    </xf>
    <xf numFmtId="0" fontId="0" fillId="16" borderId="0" xfId="0" applyFill="1" applyAlignment="1">
      <alignment horizontal="right"/>
    </xf>
    <xf numFmtId="0" fontId="0" fillId="3" borderId="27" xfId="0" applyFill="1" applyBorder="1" applyAlignment="1">
      <alignment horizontal="right"/>
    </xf>
    <xf numFmtId="2" fontId="21" fillId="7" borderId="0" xfId="0" applyNumberFormat="1" applyFont="1" applyFill="1" applyAlignment="1">
      <alignment horizontal="center"/>
    </xf>
    <xf numFmtId="0" fontId="0" fillId="27" borderId="27" xfId="0" applyFill="1" applyBorder="1" applyAlignment="1">
      <alignment horizontal="center"/>
    </xf>
    <xf numFmtId="0" fontId="0" fillId="6" borderId="27" xfId="0" applyFill="1" applyBorder="1" applyAlignment="1">
      <alignment horizontal="center"/>
    </xf>
    <xf numFmtId="0" fontId="19" fillId="3" borderId="14" xfId="0" applyFont="1" applyFill="1" applyBorder="1" applyAlignment="1">
      <alignment horizontal="right"/>
    </xf>
    <xf numFmtId="0" fontId="0" fillId="2" borderId="14" xfId="0" applyFill="1" applyBorder="1" applyAlignment="1" applyProtection="1">
      <alignment horizontal="center"/>
      <protection locked="0"/>
    </xf>
    <xf numFmtId="164" fontId="0" fillId="6" borderId="14" xfId="0" applyNumberFormat="1" applyFill="1" applyBorder="1" applyAlignment="1">
      <alignment horizontal="center"/>
    </xf>
    <xf numFmtId="0" fontId="0" fillId="2" borderId="28" xfId="0" applyFill="1" applyBorder="1" applyAlignment="1">
      <alignment horizontal="center"/>
    </xf>
    <xf numFmtId="0" fontId="0" fillId="17" borderId="27" xfId="0" applyFill="1" applyBorder="1" applyAlignment="1">
      <alignment horizontal="right"/>
    </xf>
    <xf numFmtId="164" fontId="0" fillId="6" borderId="32" xfId="0" applyNumberFormat="1" applyFill="1" applyBorder="1" applyAlignment="1">
      <alignment horizontal="center"/>
    </xf>
    <xf numFmtId="0" fontId="0" fillId="17" borderId="34" xfId="0" applyFill="1" applyBorder="1" applyAlignment="1">
      <alignment horizontal="right"/>
    </xf>
    <xf numFmtId="164" fontId="0" fillId="0" borderId="33" xfId="0" applyNumberFormat="1" applyBorder="1" applyAlignment="1">
      <alignment horizontal="center"/>
    </xf>
    <xf numFmtId="0" fontId="0" fillId="3" borderId="35" xfId="0" applyFill="1" applyBorder="1" applyAlignment="1">
      <alignment horizontal="right"/>
    </xf>
    <xf numFmtId="0" fontId="0" fillId="2" borderId="48" xfId="0" applyFill="1" applyBorder="1" applyAlignment="1">
      <alignment horizontal="center"/>
    </xf>
    <xf numFmtId="0" fontId="0" fillId="16" borderId="49" xfId="0" applyFill="1" applyBorder="1" applyAlignment="1">
      <alignment horizontal="right"/>
    </xf>
    <xf numFmtId="164" fontId="0" fillId="0" borderId="31" xfId="0" applyNumberFormat="1" applyBorder="1" applyAlignment="1">
      <alignment horizontal="center"/>
    </xf>
    <xf numFmtId="0" fontId="0" fillId="15" borderId="50" xfId="0" applyFill="1" applyBorder="1" applyAlignment="1">
      <alignment horizontal="center"/>
    </xf>
    <xf numFmtId="0" fontId="0" fillId="16" borderId="31" xfId="0" applyFill="1" applyBorder="1" applyAlignment="1">
      <alignment horizontal="center"/>
    </xf>
    <xf numFmtId="164" fontId="0" fillId="6" borderId="45" xfId="0" applyNumberFormat="1" applyFill="1" applyBorder="1" applyAlignment="1">
      <alignment horizontal="center"/>
    </xf>
    <xf numFmtId="164" fontId="0" fillId="6" borderId="33" xfId="0" applyNumberFormat="1" applyFill="1" applyBorder="1" applyAlignment="1">
      <alignment horizontal="center"/>
    </xf>
    <xf numFmtId="2" fontId="0" fillId="6" borderId="40" xfId="0" applyNumberFormat="1" applyFill="1" applyBorder="1" applyAlignment="1">
      <alignment horizontal="center"/>
    </xf>
    <xf numFmtId="0" fontId="0" fillId="33" borderId="37" xfId="0" applyFill="1" applyBorder="1"/>
    <xf numFmtId="0" fontId="0" fillId="33" borderId="0" xfId="0" applyFill="1" applyBorder="1"/>
    <xf numFmtId="0" fontId="0" fillId="33" borderId="21" xfId="0" applyFill="1" applyBorder="1"/>
    <xf numFmtId="2" fontId="0" fillId="0" borderId="3" xfId="0" applyNumberFormat="1" applyBorder="1" applyAlignment="1">
      <alignment horizontal="center"/>
    </xf>
    <xf numFmtId="0" fontId="0" fillId="0" borderId="0" xfId="0" applyAlignment="1">
      <alignment horizontal="right"/>
    </xf>
    <xf numFmtId="0" fontId="0" fillId="7" borderId="1" xfId="0" applyFill="1" applyBorder="1" applyAlignment="1">
      <alignment horizontal="center"/>
    </xf>
    <xf numFmtId="1" fontId="24" fillId="0" borderId="0" xfId="0" applyNumberFormat="1" applyFont="1" applyAlignment="1">
      <alignment horizontal="center"/>
    </xf>
    <xf numFmtId="164" fontId="24" fillId="0" borderId="0" xfId="0" applyNumberFormat="1" applyFont="1" applyAlignment="1">
      <alignment horizontal="center"/>
    </xf>
    <xf numFmtId="0" fontId="0" fillId="0" borderId="3" xfId="0" applyBorder="1" applyAlignment="1">
      <alignment horizontal="center"/>
    </xf>
    <xf numFmtId="0" fontId="0" fillId="3" borderId="1" xfId="0" applyFill="1" applyBorder="1" applyAlignment="1">
      <alignment horizontal="right"/>
    </xf>
    <xf numFmtId="0" fontId="21" fillId="3" borderId="3" xfId="0" applyFont="1" applyFill="1" applyBorder="1" applyAlignment="1">
      <alignment horizontal="center"/>
    </xf>
    <xf numFmtId="0" fontId="21" fillId="4" borderId="2" xfId="0" applyFont="1" applyFill="1" applyBorder="1" applyAlignment="1">
      <alignment horizontal="center"/>
    </xf>
    <xf numFmtId="0" fontId="21" fillId="4" borderId="3" xfId="0" applyFont="1" applyFill="1" applyBorder="1" applyAlignment="1">
      <alignment horizontal="center"/>
    </xf>
    <xf numFmtId="0" fontId="21" fillId="6" borderId="0" xfId="0" applyFont="1" applyFill="1" applyBorder="1" applyAlignment="1">
      <alignment horizontal="right"/>
    </xf>
    <xf numFmtId="0" fontId="21" fillId="6" borderId="0" xfId="0" applyFont="1" applyFill="1" applyBorder="1" applyProtection="1">
      <protection locked="0"/>
    </xf>
    <xf numFmtId="164" fontId="21" fillId="6" borderId="0" xfId="0" applyNumberFormat="1" applyFont="1" applyFill="1" applyBorder="1" applyAlignment="1">
      <alignment horizontal="center"/>
    </xf>
    <xf numFmtId="0" fontId="21" fillId="6" borderId="0" xfId="0" applyFont="1" applyFill="1" applyBorder="1"/>
    <xf numFmtId="1" fontId="28" fillId="6" borderId="0" xfId="0" applyNumberFormat="1" applyFont="1" applyFill="1" applyBorder="1"/>
    <xf numFmtId="164" fontId="28" fillId="6" borderId="0" xfId="0" applyNumberFormat="1" applyFont="1" applyFill="1" applyBorder="1"/>
    <xf numFmtId="1" fontId="30" fillId="6" borderId="0" xfId="0" applyNumberFormat="1" applyFont="1" applyFill="1" applyBorder="1" applyAlignment="1">
      <alignment horizontal="center"/>
    </xf>
    <xf numFmtId="2" fontId="30" fillId="6" borderId="0" xfId="0" applyNumberFormat="1" applyFont="1" applyFill="1" applyBorder="1" applyAlignment="1">
      <alignment horizontal="center"/>
    </xf>
    <xf numFmtId="165" fontId="24" fillId="6" borderId="0" xfId="0" applyNumberFormat="1" applyFont="1" applyFill="1" applyAlignment="1">
      <alignment horizontal="center"/>
    </xf>
    <xf numFmtId="0" fontId="21" fillId="30" borderId="1" xfId="0" applyFont="1" applyFill="1" applyBorder="1" applyAlignment="1" applyProtection="1">
      <alignment horizontal="center"/>
      <protection locked="0"/>
    </xf>
    <xf numFmtId="2" fontId="22" fillId="6" borderId="1" xfId="0" applyNumberFormat="1" applyFont="1" applyFill="1" applyBorder="1" applyAlignment="1">
      <alignment horizontal="center"/>
    </xf>
    <xf numFmtId="0" fontId="22" fillId="30" borderId="1" xfId="0" applyFont="1" applyFill="1" applyBorder="1" applyAlignment="1" applyProtection="1">
      <alignment horizontal="center"/>
      <protection locked="0"/>
    </xf>
    <xf numFmtId="2" fontId="22" fillId="3" borderId="1" xfId="0" applyNumberFormat="1" applyFont="1" applyFill="1" applyBorder="1" applyAlignment="1">
      <alignment horizontal="center"/>
    </xf>
    <xf numFmtId="2" fontId="22" fillId="4" borderId="1" xfId="0" applyNumberFormat="1" applyFont="1" applyFill="1" applyBorder="1" applyAlignment="1">
      <alignment horizontal="center"/>
    </xf>
    <xf numFmtId="0" fontId="21" fillId="3" borderId="3" xfId="0" applyFont="1" applyFill="1" applyBorder="1" applyAlignment="1">
      <alignment horizontal="right"/>
    </xf>
    <xf numFmtId="0" fontId="19" fillId="7" borderId="51" xfId="0" applyFont="1" applyFill="1" applyBorder="1" applyAlignment="1">
      <alignment horizontal="center"/>
    </xf>
    <xf numFmtId="0" fontId="19" fillId="7" borderId="52" xfId="0" applyFont="1" applyFill="1" applyBorder="1" applyAlignment="1">
      <alignment horizontal="center"/>
    </xf>
    <xf numFmtId="0" fontId="19" fillId="7" borderId="53" xfId="0" applyFont="1" applyFill="1" applyBorder="1" applyAlignment="1">
      <alignment horizontal="center"/>
    </xf>
    <xf numFmtId="0" fontId="21" fillId="0" borderId="1" xfId="0" applyFont="1" applyBorder="1" applyAlignment="1">
      <alignment horizontal="center"/>
    </xf>
    <xf numFmtId="0" fontId="21" fillId="0" borderId="13" xfId="0" applyFont="1" applyBorder="1" applyAlignment="1">
      <alignment horizontal="center"/>
    </xf>
    <xf numFmtId="0" fontId="21" fillId="0" borderId="14" xfId="0" applyFont="1" applyBorder="1" applyAlignment="1">
      <alignment horizontal="center"/>
    </xf>
    <xf numFmtId="0" fontId="19" fillId="7" borderId="1" xfId="0" applyFont="1" applyFill="1" applyBorder="1" applyAlignment="1">
      <alignment horizontal="center"/>
    </xf>
    <xf numFmtId="0" fontId="0" fillId="0" borderId="0" xfId="0" applyBorder="1"/>
    <xf numFmtId="0" fontId="15" fillId="7" borderId="7" xfId="0" applyFont="1" applyFill="1" applyBorder="1" applyAlignment="1">
      <alignment horizontal="center"/>
    </xf>
    <xf numFmtId="0" fontId="15" fillId="7" borderId="9" xfId="0" applyFont="1" applyFill="1" applyBorder="1" applyAlignment="1">
      <alignment horizontal="center"/>
    </xf>
    <xf numFmtId="0" fontId="0" fillId="0" borderId="20" xfId="0" applyBorder="1"/>
    <xf numFmtId="0" fontId="19" fillId="7" borderId="13" xfId="0" applyFont="1" applyFill="1" applyBorder="1" applyAlignment="1">
      <alignment horizontal="center"/>
    </xf>
    <xf numFmtId="0" fontId="19" fillId="7" borderId="14" xfId="0" applyFont="1" applyFill="1" applyBorder="1" applyAlignment="1">
      <alignment horizontal="center"/>
    </xf>
    <xf numFmtId="0" fontId="19" fillId="7" borderId="2" xfId="0" applyFont="1" applyFill="1" applyBorder="1" applyAlignment="1">
      <alignment horizontal="center"/>
    </xf>
    <xf numFmtId="0" fontId="26" fillId="7" borderId="13" xfId="0" applyFont="1" applyFill="1" applyBorder="1" applyAlignment="1">
      <alignment horizontal="center"/>
    </xf>
    <xf numFmtId="0" fontId="26" fillId="7" borderId="15" xfId="0" applyFont="1" applyFill="1" applyBorder="1" applyAlignment="1">
      <alignment horizontal="center"/>
    </xf>
    <xf numFmtId="0" fontId="26" fillId="7" borderId="14" xfId="0" applyFont="1" applyFill="1" applyBorder="1" applyAlignment="1">
      <alignment horizontal="center"/>
    </xf>
    <xf numFmtId="0" fontId="12" fillId="9" borderId="23" xfId="0" applyFont="1" applyFill="1" applyBorder="1" applyAlignment="1">
      <alignment horizontal="center"/>
    </xf>
    <xf numFmtId="0" fontId="12" fillId="9" borderId="29" xfId="0" applyFont="1" applyFill="1" applyBorder="1" applyAlignment="1">
      <alignment horizontal="center"/>
    </xf>
    <xf numFmtId="0" fontId="5" fillId="7" borderId="13" xfId="0" applyFont="1" applyFill="1" applyBorder="1" applyAlignment="1">
      <alignment horizontal="center"/>
    </xf>
    <xf numFmtId="0" fontId="5" fillId="7" borderId="14" xfId="0" applyFont="1" applyFill="1" applyBorder="1" applyAlignment="1">
      <alignment horizontal="center"/>
    </xf>
    <xf numFmtId="0" fontId="15" fillId="7" borderId="4" xfId="0" applyFont="1" applyFill="1" applyBorder="1" applyAlignment="1">
      <alignment horizontal="center"/>
    </xf>
    <xf numFmtId="0" fontId="15" fillId="7" borderId="6" xfId="0" applyFont="1" applyFill="1" applyBorder="1" applyAlignment="1">
      <alignment horizontal="center"/>
    </xf>
    <xf numFmtId="0" fontId="27" fillId="0" borderId="0" xfId="37" applyFont="1"/>
    <xf numFmtId="0" fontId="19" fillId="7" borderId="4" xfId="0" applyFont="1" applyFill="1" applyBorder="1" applyAlignment="1">
      <alignment horizontal="center"/>
    </xf>
    <xf numFmtId="0" fontId="19" fillId="7" borderId="6" xfId="0" applyFont="1" applyFill="1" applyBorder="1" applyAlignment="1">
      <alignment horizontal="center"/>
    </xf>
    <xf numFmtId="0" fontId="14" fillId="22" borderId="23" xfId="0" applyFont="1" applyFill="1" applyBorder="1" applyAlignment="1">
      <alignment horizontal="center"/>
    </xf>
    <xf numFmtId="0" fontId="14" fillId="22" borderId="29" xfId="0" applyFont="1" applyFill="1" applyBorder="1" applyAlignment="1">
      <alignment horizontal="center"/>
    </xf>
    <xf numFmtId="0" fontId="5" fillId="7" borderId="18" xfId="0" applyFont="1" applyFill="1" applyBorder="1" applyAlignment="1">
      <alignment horizontal="center"/>
    </xf>
    <xf numFmtId="0" fontId="15" fillId="7" borderId="13" xfId="0" applyFont="1" applyFill="1" applyBorder="1" applyAlignment="1">
      <alignment horizontal="center"/>
    </xf>
    <xf numFmtId="0" fontId="15" fillId="7" borderId="14" xfId="0" applyFont="1" applyFill="1" applyBorder="1" applyAlignment="1">
      <alignment horizontal="center"/>
    </xf>
    <xf numFmtId="0" fontId="12" fillId="22" borderId="23" xfId="0" applyFont="1" applyFill="1" applyBorder="1" applyAlignment="1">
      <alignment horizontal="center"/>
    </xf>
    <xf numFmtId="0" fontId="12" fillId="22" borderId="29" xfId="0" applyFont="1" applyFill="1" applyBorder="1" applyAlignment="1">
      <alignment horizontal="center"/>
    </xf>
    <xf numFmtId="0" fontId="9" fillId="8" borderId="20" xfId="0" applyFont="1" applyFill="1" applyBorder="1" applyAlignment="1">
      <alignment horizontal="center"/>
    </xf>
    <xf numFmtId="0" fontId="9" fillId="8" borderId="19" xfId="0" applyFont="1" applyFill="1" applyBorder="1" applyAlignment="1">
      <alignment horizontal="center"/>
    </xf>
    <xf numFmtId="0" fontId="13" fillId="7" borderId="18" xfId="0" applyFont="1" applyFill="1" applyBorder="1" applyAlignment="1">
      <alignment horizontal="center"/>
    </xf>
    <xf numFmtId="0" fontId="13" fillId="7" borderId="20" xfId="0" applyFont="1" applyFill="1" applyBorder="1" applyAlignment="1">
      <alignment horizontal="center"/>
    </xf>
    <xf numFmtId="0" fontId="13" fillId="7" borderId="17" xfId="0" applyFont="1" applyFill="1" applyBorder="1" applyAlignment="1">
      <alignment horizontal="center"/>
    </xf>
    <xf numFmtId="0" fontId="13" fillId="7" borderId="16" xfId="0" applyFont="1" applyFill="1" applyBorder="1" applyAlignment="1">
      <alignment horizontal="center"/>
    </xf>
    <xf numFmtId="0" fontId="13" fillId="7" borderId="10" xfId="0" applyFont="1" applyFill="1" applyBorder="1" applyAlignment="1">
      <alignment horizontal="center"/>
    </xf>
    <xf numFmtId="0" fontId="13" fillId="7" borderId="11" xfId="0" applyFont="1" applyFill="1" applyBorder="1" applyAlignment="1">
      <alignment horizontal="center"/>
    </xf>
    <xf numFmtId="0" fontId="5" fillId="7" borderId="15" xfId="0" applyFont="1" applyFill="1" applyBorder="1" applyAlignment="1">
      <alignment horizontal="center"/>
    </xf>
    <xf numFmtId="0" fontId="15" fillId="7" borderId="23" xfId="0" applyFont="1" applyFill="1" applyBorder="1" applyAlignment="1">
      <alignment horizontal="center"/>
    </xf>
    <xf numFmtId="0" fontId="15" fillId="7" borderId="29" xfId="0" applyFont="1" applyFill="1" applyBorder="1" applyAlignment="1">
      <alignment horizontal="center"/>
    </xf>
    <xf numFmtId="0" fontId="15" fillId="7" borderId="30" xfId="0" applyFont="1" applyFill="1" applyBorder="1" applyAlignment="1">
      <alignment horizontal="center"/>
    </xf>
    <xf numFmtId="0" fontId="15" fillId="7" borderId="43" xfId="0" applyFont="1" applyFill="1" applyBorder="1" applyAlignment="1">
      <alignment horizontal="center"/>
    </xf>
    <xf numFmtId="0" fontId="15" fillId="7" borderId="31" xfId="0" applyFont="1" applyFill="1" applyBorder="1" applyAlignment="1">
      <alignment horizontal="center"/>
    </xf>
    <xf numFmtId="0" fontId="5" fillId="7" borderId="23" xfId="0" applyFont="1" applyFill="1" applyBorder="1" applyAlignment="1">
      <alignment horizontal="center"/>
    </xf>
    <xf numFmtId="0" fontId="5" fillId="7" borderId="47" xfId="0" applyFont="1" applyFill="1" applyBorder="1" applyAlignment="1">
      <alignment horizontal="center"/>
    </xf>
    <xf numFmtId="0" fontId="5" fillId="7" borderId="29" xfId="0" applyFont="1" applyFill="1" applyBorder="1" applyAlignment="1">
      <alignment horizontal="center"/>
    </xf>
    <xf numFmtId="0" fontId="0" fillId="3" borderId="27" xfId="0" applyFill="1" applyBorder="1" applyAlignment="1">
      <alignment horizontal="right"/>
    </xf>
    <xf numFmtId="0" fontId="0" fillId="3" borderId="1" xfId="0" applyFill="1" applyBorder="1" applyAlignment="1">
      <alignment horizontal="right"/>
    </xf>
    <xf numFmtId="0" fontId="6" fillId="8" borderId="44" xfId="0" applyFont="1" applyFill="1" applyBorder="1" applyAlignment="1">
      <alignment horizontal="right"/>
    </xf>
    <xf numFmtId="0" fontId="6" fillId="8" borderId="45" xfId="0" applyFont="1" applyFill="1" applyBorder="1" applyAlignment="1">
      <alignment horizontal="right"/>
    </xf>
    <xf numFmtId="0" fontId="15" fillId="7" borderId="15" xfId="0" applyFont="1" applyFill="1" applyBorder="1" applyAlignment="1">
      <alignment horizontal="center"/>
    </xf>
    <xf numFmtId="0" fontId="5" fillId="7" borderId="4" xfId="0" applyFont="1" applyFill="1" applyBorder="1" applyAlignment="1">
      <alignment horizontal="center"/>
    </xf>
    <xf numFmtId="0" fontId="5" fillId="7" borderId="6" xfId="0" applyFont="1" applyFill="1" applyBorder="1" applyAlignment="1">
      <alignment horizontal="center"/>
    </xf>
    <xf numFmtId="0" fontId="4" fillId="7" borderId="4" xfId="0" applyFont="1" applyFill="1" applyBorder="1" applyAlignment="1">
      <alignment horizontal="center"/>
    </xf>
    <xf numFmtId="0" fontId="4" fillId="7" borderId="5" xfId="0" applyFont="1" applyFill="1" applyBorder="1" applyAlignment="1">
      <alignment horizontal="center"/>
    </xf>
    <xf numFmtId="0" fontId="4" fillId="7" borderId="6" xfId="0" applyFont="1" applyFill="1" applyBorder="1" applyAlignment="1">
      <alignment horizontal="center"/>
    </xf>
    <xf numFmtId="0" fontId="4" fillId="7" borderId="7" xfId="0" applyFont="1" applyFill="1" applyBorder="1" applyAlignment="1">
      <alignment horizontal="center"/>
    </xf>
    <xf numFmtId="0" fontId="4" fillId="7" borderId="8" xfId="0" applyFont="1" applyFill="1" applyBorder="1" applyAlignment="1">
      <alignment horizontal="center"/>
    </xf>
    <xf numFmtId="0" fontId="4" fillId="7" borderId="9" xfId="0" applyFont="1" applyFill="1" applyBorder="1" applyAlignment="1">
      <alignment horizontal="center"/>
    </xf>
    <xf numFmtId="0" fontId="0" fillId="0" borderId="0" xfId="0"/>
    <xf numFmtId="0" fontId="0" fillId="33" borderId="0" xfId="0" applyFill="1"/>
    <xf numFmtId="0" fontId="0" fillId="33" borderId="10" xfId="0" applyFill="1" applyBorder="1" applyAlignment="1">
      <alignment horizontal="center"/>
    </xf>
    <xf numFmtId="0" fontId="21" fillId="3" borderId="12" xfId="0" applyFont="1" applyFill="1" applyBorder="1" applyAlignment="1">
      <alignment horizontal="center"/>
    </xf>
    <xf numFmtId="0" fontId="21" fillId="4" borderId="12" xfId="0" applyFont="1" applyFill="1" applyBorder="1" applyAlignment="1">
      <alignment horizontal="center"/>
    </xf>
    <xf numFmtId="165" fontId="0" fillId="0" borderId="1" xfId="0" applyNumberFormat="1" applyBorder="1"/>
    <xf numFmtId="2" fontId="0" fillId="0" borderId="1" xfId="0" applyNumberFormat="1" applyBorder="1"/>
    <xf numFmtId="164" fontId="0" fillId="0" borderId="1" xfId="0" applyNumberFormat="1" applyBorder="1"/>
  </cellXfs>
  <cellStyles count="1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4" Type="http://schemas.openxmlformats.org/officeDocument/2006/relationships/image" Target="../media/image4.png"/><Relationship Id="rId5" Type="http://schemas.openxmlformats.org/officeDocument/2006/relationships/image" Target="../media/image5.PNG"/><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100</xdr:row>
      <xdr:rowOff>0</xdr:rowOff>
    </xdr:from>
    <xdr:to>
      <xdr:col>2</xdr:col>
      <xdr:colOff>1835727</xdr:colOff>
      <xdr:row>115</xdr:row>
      <xdr:rowOff>147780</xdr:rowOff>
    </xdr:to>
    <xdr:pic>
      <xdr:nvPicPr>
        <xdr:cNvPr id="2" name="Picture 1" descr="Screen Shot 2021-01-02 at 6.54.36 PM.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728295"/>
          <a:ext cx="4953000" cy="3022600"/>
        </a:xfrm>
        <a:prstGeom prst="rect">
          <a:avLst/>
        </a:prstGeom>
      </xdr:spPr>
    </xdr:pic>
    <xdr:clientData/>
  </xdr:twoCellAnchor>
  <xdr:twoCellAnchor editAs="oneCell">
    <xdr:from>
      <xdr:col>8</xdr:col>
      <xdr:colOff>127000</xdr:colOff>
      <xdr:row>80</xdr:row>
      <xdr:rowOff>177800</xdr:rowOff>
    </xdr:from>
    <xdr:to>
      <xdr:col>11</xdr:col>
      <xdr:colOff>362655</xdr:colOff>
      <xdr:row>92</xdr:row>
      <xdr:rowOff>62089</xdr:rowOff>
    </xdr:to>
    <xdr:pic>
      <xdr:nvPicPr>
        <xdr:cNvPr id="4" name="Picture 3" descr="Screen Shot 2021-01-02 at 9.22.02 PM.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836400" y="16065500"/>
          <a:ext cx="4953000" cy="2324100"/>
        </a:xfrm>
        <a:prstGeom prst="rect">
          <a:avLst/>
        </a:prstGeom>
      </xdr:spPr>
    </xdr:pic>
    <xdr:clientData/>
  </xdr:twoCellAnchor>
  <xdr:twoCellAnchor editAs="oneCell">
    <xdr:from>
      <xdr:col>9</xdr:col>
      <xdr:colOff>304800</xdr:colOff>
      <xdr:row>28</xdr:row>
      <xdr:rowOff>139700</xdr:rowOff>
    </xdr:from>
    <xdr:to>
      <xdr:col>13</xdr:col>
      <xdr:colOff>912821</xdr:colOff>
      <xdr:row>56</xdr:row>
      <xdr:rowOff>25400</xdr:rowOff>
    </xdr:to>
    <xdr:pic>
      <xdr:nvPicPr>
        <xdr:cNvPr id="3" name="Picture 2" descr="carbvelocity.gif"/>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284200" y="5803900"/>
          <a:ext cx="6350000" cy="5334000"/>
        </a:xfrm>
        <a:prstGeom prst="rect">
          <a:avLst/>
        </a:prstGeom>
      </xdr:spPr>
    </xdr:pic>
    <xdr:clientData/>
  </xdr:twoCellAnchor>
  <xdr:twoCellAnchor editAs="oneCell">
    <xdr:from>
      <xdr:col>8</xdr:col>
      <xdr:colOff>0</xdr:colOff>
      <xdr:row>105</xdr:row>
      <xdr:rowOff>0</xdr:rowOff>
    </xdr:from>
    <xdr:to>
      <xdr:col>13</xdr:col>
      <xdr:colOff>277158</xdr:colOff>
      <xdr:row>126</xdr:row>
      <xdr:rowOff>118970</xdr:rowOff>
    </xdr:to>
    <xdr:pic>
      <xdr:nvPicPr>
        <xdr:cNvPr id="5" name="Picture 4" descr="NJetShroud1.pn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057529" y="21590000"/>
          <a:ext cx="7912100" cy="4241800"/>
        </a:xfrm>
        <a:prstGeom prst="rect">
          <a:avLst/>
        </a:prstGeom>
      </xdr:spPr>
    </xdr:pic>
    <xdr:clientData/>
  </xdr:twoCellAnchor>
  <xdr:twoCellAnchor editAs="oneCell">
    <xdr:from>
      <xdr:col>4</xdr:col>
      <xdr:colOff>315632</xdr:colOff>
      <xdr:row>113</xdr:row>
      <xdr:rowOff>127000</xdr:rowOff>
    </xdr:from>
    <xdr:to>
      <xdr:col>7</xdr:col>
      <xdr:colOff>290232</xdr:colOff>
      <xdr:row>128</xdr:row>
      <xdr:rowOff>92075</xdr:rowOff>
    </xdr:to>
    <xdr:pic>
      <xdr:nvPicPr>
        <xdr:cNvPr id="6" name="Picture 5" descr="Screen Shot 2021-10-08 at 12.29.35 AM.PNG"/>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815044" y="23300765"/>
          <a:ext cx="4232835" cy="29831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ragonfly75.com/moto/carbsizing.html" TargetMode="External"/><Relationship Id="rId4" Type="http://schemas.openxmlformats.org/officeDocument/2006/relationships/hyperlink" Target="https://www.youtube.com/watch?v=3AiBAQ1o8rA&amp;t=267s" TargetMode="External"/><Relationship Id="rId5" Type="http://schemas.openxmlformats.org/officeDocument/2006/relationships/hyperlink" Target="http://dragonfly75.com/moto/carbsizing.html" TargetMode="External"/><Relationship Id="rId6" Type="http://schemas.openxmlformats.org/officeDocument/2006/relationships/hyperlink" Target="http://www.dragonfly75.com/moto/calculators.html" TargetMode="External"/><Relationship Id="rId7" Type="http://schemas.openxmlformats.org/officeDocument/2006/relationships/hyperlink" Target="http://www.dragonfly75.com/moto/calculators.html" TargetMode="External"/><Relationship Id="rId8" Type="http://schemas.openxmlformats.org/officeDocument/2006/relationships/hyperlink" Target="http://www.dragonfly75.com/moto/calculators.html" TargetMode="External"/><Relationship Id="rId9" Type="http://schemas.openxmlformats.org/officeDocument/2006/relationships/drawing" Target="../drawings/drawing1.xml"/><Relationship Id="rId10" Type="http://schemas.openxmlformats.org/officeDocument/2006/relationships/vmlDrawing" Target="../drawings/vmlDrawing1.vml"/><Relationship Id="rId11" Type="http://schemas.openxmlformats.org/officeDocument/2006/relationships/comments" Target="../comments1.xml"/><Relationship Id="rId1" Type="http://schemas.openxmlformats.org/officeDocument/2006/relationships/hyperlink" Target="http://www.dragonfly75.com/moto/calculators.html" TargetMode="External"/><Relationship Id="rId2" Type="http://schemas.openxmlformats.org/officeDocument/2006/relationships/hyperlink" Target="http://www.dragonfly75.com/moto/findduration.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P155"/>
  <sheetViews>
    <sheetView tabSelected="1" zoomScale="70" zoomScaleNormal="70" zoomScalePageLayoutView="70" workbookViewId="0">
      <selection activeCell="A7" sqref="A7"/>
    </sheetView>
  </sheetViews>
  <sheetFormatPr baseColWidth="10" defaultColWidth="11" defaultRowHeight="15" x14ac:dyDescent="0"/>
  <cols>
    <col min="1" max="1" width="16.6640625" customWidth="1"/>
    <col min="2" max="2" width="24.1640625" customWidth="1"/>
    <col min="3" max="3" width="29.33203125" customWidth="1"/>
    <col min="4" max="4" width="15" customWidth="1"/>
    <col min="5" max="5" width="19.1640625" customWidth="1"/>
    <col min="6" max="6" width="21.1640625" customWidth="1"/>
    <col min="7" max="7" width="15.5" customWidth="1"/>
    <col min="8" max="8" width="17" customWidth="1"/>
    <col min="9" max="9" width="24.6640625" customWidth="1"/>
    <col min="10" max="10" width="17" customWidth="1"/>
    <col min="11" max="11" width="20.1640625" customWidth="1"/>
    <col min="12" max="12" width="18.6640625" customWidth="1"/>
    <col min="13" max="13" width="19.6640625" customWidth="1"/>
    <col min="14" max="14" width="17.6640625" customWidth="1"/>
  </cols>
  <sheetData>
    <row r="1" spans="1:15">
      <c r="B1" s="350" t="s">
        <v>18</v>
      </c>
      <c r="C1" s="351"/>
      <c r="D1" s="351"/>
      <c r="E1" s="352"/>
      <c r="F1" s="41" t="s">
        <v>76</v>
      </c>
      <c r="H1" s="356" t="s">
        <v>77</v>
      </c>
      <c r="I1" s="356"/>
    </row>
    <row r="2" spans="1:15" ht="24" thickBot="1">
      <c r="B2" s="353"/>
      <c r="C2" s="354"/>
      <c r="D2" s="354"/>
      <c r="E2" s="355"/>
      <c r="F2" t="s">
        <v>51</v>
      </c>
      <c r="H2" s="356" t="s">
        <v>161</v>
      </c>
      <c r="I2" s="356"/>
      <c r="J2" s="356"/>
      <c r="M2" s="322" t="s">
        <v>285</v>
      </c>
      <c r="N2" s="347"/>
      <c r="O2" s="323"/>
    </row>
    <row r="3" spans="1:15">
      <c r="F3" s="93" t="s">
        <v>298</v>
      </c>
      <c r="J3" s="5" t="s">
        <v>46</v>
      </c>
      <c r="K3" s="12" t="s">
        <v>47</v>
      </c>
      <c r="M3" s="14" t="s">
        <v>279</v>
      </c>
      <c r="N3" s="14" t="s">
        <v>278</v>
      </c>
      <c r="O3" s="273" t="s">
        <v>281</v>
      </c>
    </row>
    <row r="4" spans="1:15" ht="20">
      <c r="A4" s="125"/>
      <c r="B4" s="312" t="s">
        <v>150</v>
      </c>
      <c r="C4" s="313"/>
      <c r="D4" s="125"/>
      <c r="F4" s="312" t="s">
        <v>78</v>
      </c>
      <c r="G4" s="334"/>
      <c r="H4" s="313"/>
      <c r="J4" s="19">
        <v>2.0699999999999998</v>
      </c>
      <c r="K4" s="4">
        <f>J4/0.3048</f>
        <v>6.7913385826771648</v>
      </c>
      <c r="L4" s="269" t="s">
        <v>280</v>
      </c>
      <c r="M4" s="43">
        <v>100</v>
      </c>
      <c r="N4" s="43">
        <v>26.6</v>
      </c>
      <c r="O4" s="10">
        <f>3.14*(N4/2)^2</f>
        <v>555.43460000000005</v>
      </c>
    </row>
    <row r="5" spans="1:15">
      <c r="A5" s="130"/>
      <c r="B5" s="131"/>
      <c r="C5" s="20" t="s">
        <v>302</v>
      </c>
      <c r="D5" s="8" t="s">
        <v>2</v>
      </c>
      <c r="F5" s="13" t="s">
        <v>6</v>
      </c>
      <c r="G5" s="134"/>
      <c r="H5" s="135"/>
      <c r="J5" s="129"/>
      <c r="K5" s="6" t="s">
        <v>50</v>
      </c>
      <c r="M5" s="2"/>
      <c r="N5" s="2"/>
    </row>
    <row r="6" spans="1:15">
      <c r="A6" s="5" t="s">
        <v>1</v>
      </c>
      <c r="B6" s="5" t="s">
        <v>0</v>
      </c>
      <c r="C6" s="7" t="s">
        <v>7</v>
      </c>
      <c r="D6" s="9" t="s">
        <v>3</v>
      </c>
      <c r="E6" s="1"/>
      <c r="F6" s="14" t="s">
        <v>5</v>
      </c>
      <c r="G6" s="5" t="s">
        <v>75</v>
      </c>
      <c r="H6" s="12" t="s">
        <v>4</v>
      </c>
      <c r="J6" s="5" t="s">
        <v>48</v>
      </c>
      <c r="K6" s="7" t="s">
        <v>49</v>
      </c>
      <c r="M6" s="5" t="s">
        <v>286</v>
      </c>
      <c r="N6" s="270" t="s">
        <v>282</v>
      </c>
      <c r="O6" s="3" t="s">
        <v>284</v>
      </c>
    </row>
    <row r="7" spans="1:15">
      <c r="A7" s="19">
        <v>10000</v>
      </c>
      <c r="B7" s="18">
        <v>50</v>
      </c>
      <c r="C7" s="4">
        <f>((2*(A7/1000)*B7)/60)</f>
        <v>16.666666666666668</v>
      </c>
      <c r="D7" s="10">
        <f>((25*60)/B7)*500</f>
        <v>15000</v>
      </c>
      <c r="F7" s="18">
        <v>8.3000000000000007</v>
      </c>
      <c r="G7" s="19">
        <v>0</v>
      </c>
      <c r="H7" s="10">
        <f>((((F7-6)*34.8)+121)*(1-(0.14-(8-F7)*0.02)))/(1+G7*0.000075)</f>
        <v>171.68816000000001</v>
      </c>
      <c r="J7" s="16">
        <v>1</v>
      </c>
      <c r="K7" s="3">
        <f>J7*25.4</f>
        <v>25.4</v>
      </c>
      <c r="L7" s="269" t="s">
        <v>283</v>
      </c>
      <c r="M7" s="43">
        <v>400</v>
      </c>
      <c r="N7" s="4">
        <f>IF(M7&gt;200,N9,M9)</f>
        <v>35.786639965216068</v>
      </c>
      <c r="O7" s="10">
        <f>3.14*(N7/2)^2</f>
        <v>1005.3366259999999</v>
      </c>
    </row>
    <row r="8" spans="1:15">
      <c r="M8" s="271">
        <f>(1+(((M7/M4)-1)*0.22))*O4</f>
        <v>922.02143600000011</v>
      </c>
      <c r="N8" s="271">
        <f>(1+(((M7/M4)-1)*0.27))*O4</f>
        <v>1005.3366260000001</v>
      </c>
    </row>
    <row r="9" spans="1:15" ht="20">
      <c r="A9" s="13" t="s">
        <v>241</v>
      </c>
      <c r="B9" s="334" t="s">
        <v>151</v>
      </c>
      <c r="C9" s="313"/>
      <c r="E9" s="125"/>
      <c r="F9" s="312" t="s">
        <v>19</v>
      </c>
      <c r="G9" s="313"/>
      <c r="I9" s="312" t="s">
        <v>81</v>
      </c>
      <c r="J9" s="334"/>
      <c r="K9" s="313"/>
      <c r="M9" s="272">
        <f>2*SQRT(M8/3.14)</f>
        <v>34.271702613088834</v>
      </c>
      <c r="N9" s="272">
        <f>2*SQRT(N8/3.14)</f>
        <v>35.786639965216068</v>
      </c>
    </row>
    <row r="10" spans="1:15">
      <c r="A10" s="104" t="s">
        <v>8</v>
      </c>
      <c r="B10" s="129"/>
      <c r="C10" s="6" t="s">
        <v>10</v>
      </c>
      <c r="D10" s="1"/>
      <c r="E10" s="13" t="s">
        <v>8</v>
      </c>
      <c r="F10" s="13" t="s">
        <v>10</v>
      </c>
      <c r="G10" s="6" t="s">
        <v>12</v>
      </c>
      <c r="I10" s="125"/>
      <c r="J10" s="13" t="s">
        <v>147</v>
      </c>
      <c r="K10" s="114" t="s">
        <v>142</v>
      </c>
      <c r="N10" s="116" t="s">
        <v>145</v>
      </c>
    </row>
    <row r="11" spans="1:15">
      <c r="A11" s="14" t="s">
        <v>240</v>
      </c>
      <c r="B11" s="103" t="s">
        <v>9</v>
      </c>
      <c r="C11" s="7" t="s">
        <v>168</v>
      </c>
      <c r="E11" s="14" t="s">
        <v>26</v>
      </c>
      <c r="F11" s="14" t="s">
        <v>5</v>
      </c>
      <c r="G11" s="7" t="s">
        <v>13</v>
      </c>
      <c r="I11" s="105" t="s">
        <v>140</v>
      </c>
      <c r="J11" s="104" t="s">
        <v>148</v>
      </c>
      <c r="K11" s="112" t="s">
        <v>143</v>
      </c>
      <c r="L11" s="107" t="s">
        <v>53</v>
      </c>
      <c r="M11" s="110" t="s">
        <v>79</v>
      </c>
      <c r="N11" s="115" t="s">
        <v>146</v>
      </c>
    </row>
    <row r="12" spans="1:15">
      <c r="A12" s="209">
        <v>72.5</v>
      </c>
      <c r="B12" s="18">
        <v>8.4</v>
      </c>
      <c r="C12" s="4">
        <f>A12/B12</f>
        <v>8.6309523809523814</v>
      </c>
      <c r="E12" s="19">
        <v>60</v>
      </c>
      <c r="F12" s="18">
        <v>7.1</v>
      </c>
      <c r="G12" s="15">
        <f>E12/F12</f>
        <v>8.4507042253521139</v>
      </c>
      <c r="I12" s="106" t="s">
        <v>141</v>
      </c>
      <c r="J12" s="14" t="s">
        <v>149</v>
      </c>
      <c r="K12" s="113" t="s">
        <v>144</v>
      </c>
      <c r="L12" s="108" t="s">
        <v>82</v>
      </c>
      <c r="M12" s="111" t="s">
        <v>82</v>
      </c>
      <c r="N12" s="44" t="s">
        <v>80</v>
      </c>
    </row>
    <row r="13" spans="1:15">
      <c r="A13" s="3" t="s">
        <v>11</v>
      </c>
      <c r="B13" s="3" t="s">
        <v>11</v>
      </c>
      <c r="C13" s="166" t="s">
        <v>200</v>
      </c>
      <c r="I13" s="43">
        <v>47</v>
      </c>
      <c r="J13" s="109">
        <v>1.5</v>
      </c>
      <c r="K13" s="109">
        <v>30.4</v>
      </c>
      <c r="L13" s="4">
        <f>(3.14*(I13/20)^2)*(K13/10)</f>
        <v>52.715576000000013</v>
      </c>
      <c r="M13" s="4">
        <f>L13/(J13-1)</f>
        <v>105.43115200000003</v>
      </c>
      <c r="N13" s="22">
        <f>SQRT(K13/M13)*19813</f>
        <v>10639.04278459892</v>
      </c>
    </row>
    <row r="14" spans="1:15">
      <c r="A14" s="16">
        <v>2.0299999999999998</v>
      </c>
      <c r="B14" s="16">
        <v>0.28799999999999998</v>
      </c>
      <c r="C14" s="17">
        <f>A14/B14</f>
        <v>7.0486111111111107</v>
      </c>
    </row>
    <row r="16" spans="1:15" ht="20">
      <c r="A16" s="125"/>
      <c r="B16" s="312" t="s">
        <v>20</v>
      </c>
      <c r="C16" s="313"/>
      <c r="F16" s="312" t="s">
        <v>25</v>
      </c>
      <c r="G16" s="313"/>
    </row>
    <row r="17" spans="1:16">
      <c r="A17" s="13" t="s">
        <v>15</v>
      </c>
      <c r="B17" s="6" t="s">
        <v>16</v>
      </c>
      <c r="C17" s="132"/>
      <c r="E17" s="13" t="s">
        <v>8</v>
      </c>
      <c r="F17" s="13" t="s">
        <v>35</v>
      </c>
      <c r="G17" s="125"/>
      <c r="H17" s="133"/>
      <c r="I17" s="6" t="s">
        <v>30</v>
      </c>
      <c r="J17" s="6" t="s">
        <v>38</v>
      </c>
      <c r="K17" s="6" t="s">
        <v>238</v>
      </c>
      <c r="L17" s="6" t="s">
        <v>10</v>
      </c>
    </row>
    <row r="18" spans="1:16">
      <c r="A18" s="14" t="s">
        <v>14</v>
      </c>
      <c r="B18" s="7" t="s">
        <v>17</v>
      </c>
      <c r="C18" s="11" t="s">
        <v>21</v>
      </c>
      <c r="E18" s="14" t="s">
        <v>28</v>
      </c>
      <c r="F18" s="14" t="s">
        <v>36</v>
      </c>
      <c r="G18" s="219" t="s">
        <v>27</v>
      </c>
      <c r="H18" s="5" t="s">
        <v>37</v>
      </c>
      <c r="I18" s="7" t="s">
        <v>29</v>
      </c>
      <c r="J18" s="7" t="s">
        <v>40</v>
      </c>
      <c r="K18" s="42" t="s">
        <v>239</v>
      </c>
      <c r="L18" s="7" t="s">
        <v>5</v>
      </c>
      <c r="M18" s="5" t="s">
        <v>75</v>
      </c>
      <c r="N18" s="12" t="s">
        <v>4</v>
      </c>
    </row>
    <row r="19" spans="1:16">
      <c r="A19" s="19">
        <v>150</v>
      </c>
      <c r="B19" s="4">
        <f>(2*SQRT((A19*0.00772)/3.14))/0.01066</f>
        <v>113.93633533464265</v>
      </c>
      <c r="C19" s="17">
        <f>2*SQRT(((A19/80)*0.5)/3.14)</f>
        <v>1.09282547367984</v>
      </c>
      <c r="E19" s="218">
        <v>27.85</v>
      </c>
      <c r="F19" s="16">
        <v>0</v>
      </c>
      <c r="G19" s="18">
        <v>50</v>
      </c>
      <c r="H19" s="16">
        <v>5.85</v>
      </c>
      <c r="I19" s="268">
        <f>K21+K22+K23+K25-K24</f>
        <v>61.682857053333343</v>
      </c>
      <c r="J19" s="4">
        <f>(3.14*(H25/10)*(3*(G19/20)^2+(H25/10)^2))/6</f>
        <v>0.78526794666666666</v>
      </c>
      <c r="K19" s="4">
        <f>K21+K22+K23-K24</f>
        <v>7.027232053333333</v>
      </c>
      <c r="L19" s="4">
        <f>I19/K19</f>
        <v>8.7776889371504936</v>
      </c>
      <c r="M19" s="19">
        <v>5000</v>
      </c>
      <c r="N19" s="10">
        <f>((((L19-6)*34.8)+121)*(1-(0.14-(8-L19)*0.02)))/(1+M19*0.000075)</f>
        <v>133.67649703627472</v>
      </c>
    </row>
    <row r="20" spans="1:16">
      <c r="A20" s="125"/>
      <c r="B20" s="125"/>
      <c r="C20" s="125"/>
      <c r="H20" s="13" t="s">
        <v>32</v>
      </c>
      <c r="K20" s="210" t="s">
        <v>40</v>
      </c>
      <c r="L20" s="211"/>
    </row>
    <row r="21" spans="1:16">
      <c r="A21" s="13" t="s">
        <v>23</v>
      </c>
      <c r="B21" s="6" t="s">
        <v>16</v>
      </c>
      <c r="C21" s="125"/>
      <c r="E21" s="5" t="s">
        <v>43</v>
      </c>
      <c r="F21" s="12" t="s">
        <v>44</v>
      </c>
      <c r="H21" s="14" t="s">
        <v>33</v>
      </c>
      <c r="K21" s="241">
        <f>H19</f>
        <v>5.85</v>
      </c>
      <c r="L21" s="212" t="s">
        <v>31</v>
      </c>
    </row>
    <row r="22" spans="1:16">
      <c r="A22" s="14" t="s">
        <v>24</v>
      </c>
      <c r="B22" s="21" t="s">
        <v>22</v>
      </c>
      <c r="C22" s="11" t="s">
        <v>21</v>
      </c>
      <c r="E22" s="18">
        <v>1</v>
      </c>
      <c r="F22" s="4">
        <f>E22*29.57</f>
        <v>29.57</v>
      </c>
      <c r="H22" s="16">
        <v>1</v>
      </c>
      <c r="K22" s="241">
        <f>3.14*(G19/20)^2*(H22/10)</f>
        <v>1.9625000000000001</v>
      </c>
      <c r="L22" s="212" t="s">
        <v>39</v>
      </c>
    </row>
    <row r="23" spans="1:16">
      <c r="A23" s="18">
        <v>114</v>
      </c>
      <c r="B23" s="10">
        <f>((((A23*0.01066)/2)^2)*3.14)/0.00772</f>
        <v>150.16767904352329</v>
      </c>
      <c r="C23" s="17">
        <f>A23*0.0096</f>
        <v>1.0943999999999998</v>
      </c>
      <c r="H23" s="13" t="s">
        <v>38</v>
      </c>
      <c r="K23" s="241">
        <f>3.14*(G19/20)^2*(F19/10)</f>
        <v>0</v>
      </c>
      <c r="L23" s="212" t="s">
        <v>41</v>
      </c>
    </row>
    <row r="24" spans="1:16">
      <c r="E24" s="5" t="s">
        <v>45</v>
      </c>
      <c r="F24" s="12" t="s">
        <v>43</v>
      </c>
      <c r="H24" s="14" t="s">
        <v>34</v>
      </c>
      <c r="K24" s="241">
        <f>J19</f>
        <v>0.78526794666666666</v>
      </c>
      <c r="L24" s="212" t="s">
        <v>38</v>
      </c>
    </row>
    <row r="25" spans="1:16" ht="20">
      <c r="A25" s="129"/>
      <c r="B25" s="321" t="s">
        <v>152</v>
      </c>
      <c r="C25" s="313"/>
      <c r="E25" s="19">
        <v>30</v>
      </c>
      <c r="F25" s="17">
        <f>E25/29.57</f>
        <v>1.0145417653026716</v>
      </c>
      <c r="H25" s="18">
        <v>0.8</v>
      </c>
      <c r="K25" s="213">
        <f>((E19-F19)/10)*3.14*(G19/20)^2</f>
        <v>54.655625000000008</v>
      </c>
      <c r="L25" s="214" t="s">
        <v>42</v>
      </c>
    </row>
    <row r="26" spans="1:16">
      <c r="A26" s="5" t="s">
        <v>68</v>
      </c>
      <c r="B26" s="5" t="s">
        <v>67</v>
      </c>
      <c r="C26" s="12" t="s">
        <v>69</v>
      </c>
    </row>
    <row r="27" spans="1:16">
      <c r="A27" s="18">
        <v>50</v>
      </c>
      <c r="B27" s="18">
        <v>50</v>
      </c>
      <c r="C27" s="4">
        <f>0.785*((A27/10)^2)*(B27/10)</f>
        <v>98.125</v>
      </c>
      <c r="J27" s="357" t="s">
        <v>166</v>
      </c>
      <c r="K27" s="357"/>
      <c r="L27" s="357"/>
      <c r="M27" s="357"/>
      <c r="N27" s="357"/>
      <c r="O27" s="357"/>
      <c r="P27" s="125"/>
    </row>
    <row r="28" spans="1:16" ht="20">
      <c r="D28" s="312" t="s">
        <v>113</v>
      </c>
      <c r="E28" s="334"/>
      <c r="F28" s="313"/>
      <c r="G28" s="136" t="s">
        <v>97</v>
      </c>
      <c r="H28" s="125"/>
      <c r="I28" s="125"/>
      <c r="J28" s="357" t="s">
        <v>167</v>
      </c>
      <c r="K28" s="357"/>
      <c r="L28" s="357"/>
      <c r="M28" s="357"/>
      <c r="N28" s="357"/>
      <c r="O28" s="357"/>
      <c r="P28" s="125"/>
    </row>
    <row r="29" spans="1:16">
      <c r="A29" s="137"/>
      <c r="B29" s="137"/>
      <c r="C29" s="137"/>
      <c r="D29" s="36" t="s">
        <v>52</v>
      </c>
      <c r="E29" s="23" t="s">
        <v>53</v>
      </c>
      <c r="F29" s="24" t="s">
        <v>54</v>
      </c>
      <c r="G29" s="128"/>
      <c r="H29" s="125"/>
      <c r="I29" s="25" t="s">
        <v>55</v>
      </c>
      <c r="J29" s="125"/>
      <c r="K29" s="125"/>
      <c r="L29" s="125"/>
      <c r="M29" s="125"/>
      <c r="N29" s="125"/>
      <c r="O29" s="125"/>
      <c r="P29" s="125"/>
    </row>
    <row r="30" spans="1:16">
      <c r="A30" s="37" t="s">
        <v>29</v>
      </c>
      <c r="B30" s="38" t="s">
        <v>180</v>
      </c>
      <c r="C30" s="38" t="s">
        <v>1</v>
      </c>
      <c r="D30" s="39" t="s">
        <v>56</v>
      </c>
      <c r="E30" s="26" t="s">
        <v>57</v>
      </c>
      <c r="F30" s="27" t="s">
        <v>58</v>
      </c>
      <c r="G30" s="28" t="s">
        <v>59</v>
      </c>
      <c r="H30" s="29" t="s">
        <v>60</v>
      </c>
      <c r="I30" s="30" t="s">
        <v>61</v>
      </c>
      <c r="J30" s="125"/>
      <c r="K30" s="125"/>
      <c r="L30" s="125"/>
      <c r="M30" s="125"/>
      <c r="N30" s="125"/>
      <c r="O30" s="125"/>
      <c r="P30" s="125"/>
    </row>
    <row r="31" spans="1:16">
      <c r="A31" s="34">
        <v>250</v>
      </c>
      <c r="B31" s="35">
        <v>125</v>
      </c>
      <c r="C31" s="35">
        <v>8000</v>
      </c>
      <c r="D31" s="35">
        <v>38</v>
      </c>
      <c r="E31" s="31">
        <f>(A31*B33*C31)/1000</f>
        <v>1552</v>
      </c>
      <c r="F31" s="32">
        <f>(E31*0.167)/D34</f>
        <v>22.865006969317363</v>
      </c>
      <c r="G31" s="177" t="s">
        <v>62</v>
      </c>
      <c r="H31" s="32">
        <f>H32+15</f>
        <v>38.942857142857143</v>
      </c>
      <c r="I31" s="40">
        <f>20*SQRT(((E31*0.167)/H31)/3.14)</f>
        <v>29.117585535244402</v>
      </c>
      <c r="J31" s="125"/>
      <c r="K31" s="125"/>
      <c r="L31" s="125"/>
      <c r="M31" s="125"/>
      <c r="N31" s="125"/>
      <c r="O31" s="125"/>
      <c r="P31" s="125"/>
    </row>
    <row r="32" spans="1:16">
      <c r="A32" s="37" t="s">
        <v>27</v>
      </c>
      <c r="B32" s="90" t="s">
        <v>64</v>
      </c>
      <c r="C32" s="125"/>
      <c r="D32" s="25" t="s">
        <v>66</v>
      </c>
      <c r="E32" s="138">
        <f>(A31*B33*1250)/1000</f>
        <v>242.5</v>
      </c>
      <c r="F32" s="137"/>
      <c r="G32" s="178" t="s">
        <v>63</v>
      </c>
      <c r="H32" s="32">
        <f>18*((A31*B33)/C31-0.00886)/0.0399+17</f>
        <v>23.942857142857143</v>
      </c>
      <c r="I32" s="40">
        <f>20*SQRT(((E31*0.167)/H32)/3.14)</f>
        <v>37.134816184626388</v>
      </c>
      <c r="J32" s="125"/>
      <c r="K32" s="125"/>
      <c r="L32" s="125"/>
      <c r="M32" s="125"/>
      <c r="N32" s="125"/>
      <c r="O32" s="125"/>
      <c r="P32" s="125"/>
    </row>
    <row r="33" spans="1:16">
      <c r="A33" s="142">
        <v>66.400000000000006</v>
      </c>
      <c r="B33" s="143">
        <f>IF(B31&gt;125,0.776-(B31-125)*0.0036,IF(B31&gt;120,0.793-(B31-120)*0.0034,IF(B31&gt;115,0.809-(B31-115)*0.0033,IF(B31&gt;110,0.825-(B31-110)*0.0032,IF(B31&gt;105,0.84-(B31-105)*0.003,0.84+(105-B31)*0.0028)))))</f>
        <v>0.77600000000000002</v>
      </c>
      <c r="C33" s="137"/>
      <c r="D33" s="30" t="s">
        <v>65</v>
      </c>
      <c r="E33" s="137"/>
      <c r="F33" s="137"/>
      <c r="G33" s="137"/>
      <c r="H33" s="88" t="s">
        <v>112</v>
      </c>
      <c r="I33" s="87" t="s">
        <v>111</v>
      </c>
      <c r="J33" s="125"/>
      <c r="K33" s="125"/>
      <c r="L33" s="125"/>
      <c r="M33" s="125"/>
      <c r="N33" s="125"/>
      <c r="O33" s="125"/>
      <c r="P33" s="125"/>
    </row>
    <row r="34" spans="1:16">
      <c r="A34" s="5" t="s">
        <v>168</v>
      </c>
      <c r="B34" s="5" t="s">
        <v>169</v>
      </c>
      <c r="C34" s="12" t="s">
        <v>171</v>
      </c>
      <c r="D34" s="33">
        <f>3.14*(D31/20)^2</f>
        <v>11.3354</v>
      </c>
      <c r="E34" s="137"/>
      <c r="F34" s="137"/>
      <c r="G34" s="137"/>
      <c r="H34" s="89">
        <v>10</v>
      </c>
      <c r="I34" s="86">
        <f>SQRT(((0.167*A31*B33*C31)/(((H34-10)*0.52+14.2)*1000))/3.14)*20</f>
        <v>48.219765440464343</v>
      </c>
      <c r="J34" s="125"/>
      <c r="K34" s="125"/>
      <c r="L34" s="125"/>
      <c r="M34" s="125"/>
      <c r="N34" s="125"/>
      <c r="O34" s="125"/>
      <c r="P34" s="125"/>
    </row>
    <row r="35" spans="1:16">
      <c r="A35" s="43">
        <v>8.5</v>
      </c>
      <c r="B35" s="43">
        <v>500</v>
      </c>
      <c r="C35" s="10">
        <f>((((A35-6)*34.8)+121)*(1-(0.14-(8-A35)*0.02)))/(1+B35*0.000075)</f>
        <v>170.40963855421683</v>
      </c>
      <c r="D35" s="12" t="s">
        <v>114</v>
      </c>
      <c r="E35" s="91" t="s">
        <v>115</v>
      </c>
      <c r="F35" s="125"/>
      <c r="G35" s="358" t="s">
        <v>170</v>
      </c>
      <c r="H35" s="358"/>
      <c r="I35" s="358"/>
      <c r="J35" s="125"/>
      <c r="K35" s="125"/>
      <c r="L35" s="125"/>
      <c r="M35" s="125"/>
      <c r="N35" s="125"/>
      <c r="O35" s="125"/>
      <c r="P35" s="125"/>
    </row>
    <row r="36" spans="1:16">
      <c r="A36" s="125"/>
      <c r="B36" s="125"/>
      <c r="C36" s="144">
        <f>(((78.1-A33)*0.004)+1)*IF(A35&lt;8,A35/9.9,IF(AND(A35&gt;=8,A35&lt;10),A35/9.3,IF(AND(A35&gt;=10,A35&lt;12),A35/8.55,IF(A35&gt;=12,A35/7.5,0))))</f>
        <v>0.95675268817204295</v>
      </c>
      <c r="D36" s="4">
        <f>0.516*E32</f>
        <v>125.13000000000001</v>
      </c>
      <c r="E36" s="4">
        <f>IF(AND(D37&gt;0.026,D37&lt;=0.0723),((D37-0.0463)/0.0273)*0.0315+0.0625,IF(AND(D37&gt;0.0723,D37&lt;=0.0996),((D37-0.0723)/0.0273)*0.0315+0.125,IF(AND(D37&gt;0.0996,D37&lt;=0.129),((D37-0.0996)/0.0294)*0.0315+0.156,IF(AND(D37&gt;0.129,D37&lt;=0.162),((D37-0.129)/0.033)*0.0315+0.1875,IF(AND(D37&gt;0.162,D37&lt;=0.196),((D37-0.162)/0.034)*0.0315+0.219,IF(AND(D37&gt;0.196,D37&lt;=0.268),((D37-0.196)/0.072)*0.0315+0.25,0))))))*D31</f>
        <v>6.3672539629328107</v>
      </c>
      <c r="F36" s="125"/>
      <c r="G36" s="141" t="s">
        <v>59</v>
      </c>
      <c r="H36" s="29" t="s">
        <v>60</v>
      </c>
      <c r="I36" s="141" t="s">
        <v>61</v>
      </c>
      <c r="J36" s="125"/>
      <c r="K36" s="125"/>
      <c r="L36" s="125"/>
      <c r="M36" s="125"/>
      <c r="N36" s="125"/>
      <c r="O36" s="125"/>
      <c r="P36" s="125"/>
    </row>
    <row r="37" spans="1:16">
      <c r="A37" s="125"/>
      <c r="B37" s="125"/>
      <c r="C37" s="125"/>
      <c r="D37" s="145">
        <f>D36/(D34*100)</f>
        <v>0.1103886938264199</v>
      </c>
      <c r="E37" s="125"/>
      <c r="F37" s="125"/>
      <c r="G37" s="179" t="s">
        <v>62</v>
      </c>
      <c r="H37" s="32">
        <f>H38+15</f>
        <v>37.907392933947776</v>
      </c>
      <c r="I37" s="40">
        <f>20*SQRT(((E31*0.167)/H37)/3.14)</f>
        <v>29.51258882178373</v>
      </c>
      <c r="J37" s="125"/>
      <c r="K37" s="125"/>
      <c r="L37" s="125"/>
      <c r="M37" s="125"/>
      <c r="N37" s="125"/>
      <c r="O37" s="125"/>
      <c r="P37" s="125"/>
    </row>
    <row r="38" spans="1:16">
      <c r="F38" s="125"/>
      <c r="G38" s="178" t="s">
        <v>63</v>
      </c>
      <c r="H38" s="32">
        <f>C36*H32</f>
        <v>22.907392933947772</v>
      </c>
      <c r="I38" s="147" t="s">
        <v>172</v>
      </c>
      <c r="J38" s="125"/>
      <c r="K38" s="125"/>
      <c r="L38" s="125"/>
      <c r="M38" s="125"/>
      <c r="N38" s="125"/>
      <c r="O38" s="125"/>
      <c r="P38" s="125"/>
    </row>
    <row r="39" spans="1:16">
      <c r="A39" s="68" t="s">
        <v>0</v>
      </c>
      <c r="B39" s="69">
        <v>50</v>
      </c>
      <c r="C39" s="328" t="s">
        <v>96</v>
      </c>
      <c r="D39" s="329"/>
      <c r="E39" s="329"/>
      <c r="F39" s="330"/>
      <c r="G39" s="125"/>
      <c r="H39" s="125"/>
      <c r="I39" s="148">
        <f>20*SQRT(((E31*0.167)/H38)/3.14)</f>
        <v>37.964827677856398</v>
      </c>
      <c r="J39" s="125"/>
      <c r="K39" s="125"/>
      <c r="L39" s="125"/>
      <c r="M39" s="125"/>
      <c r="N39" s="125"/>
      <c r="O39" s="125"/>
      <c r="P39" s="125"/>
    </row>
    <row r="40" spans="1:16">
      <c r="A40" s="68" t="s">
        <v>95</v>
      </c>
      <c r="B40" s="69">
        <v>110</v>
      </c>
      <c r="C40" s="331"/>
      <c r="D40" s="332"/>
      <c r="E40" s="332"/>
      <c r="F40" s="333"/>
      <c r="G40" s="146" t="s">
        <v>97</v>
      </c>
      <c r="H40" s="127"/>
      <c r="J40" s="125"/>
      <c r="K40" s="125"/>
      <c r="L40" s="125"/>
      <c r="M40" s="125"/>
      <c r="N40" s="125"/>
      <c r="O40" s="125"/>
      <c r="P40" s="125"/>
    </row>
    <row r="41" spans="1:16">
      <c r="A41" s="326" t="s">
        <v>83</v>
      </c>
      <c r="B41" s="327"/>
      <c r="C41" s="46" t="s">
        <v>84</v>
      </c>
      <c r="D41" s="47">
        <f>(1-(B40/B39-2.1)*0.0577)</f>
        <v>0.99422999999999995</v>
      </c>
      <c r="E41" s="48" t="s">
        <v>84</v>
      </c>
      <c r="F41" s="47">
        <f>(1-(B40/B39-2.1)*0.0577)</f>
        <v>0.99422999999999995</v>
      </c>
      <c r="G41" s="49" t="s">
        <v>85</v>
      </c>
      <c r="H41" s="47">
        <f>(1-(B40/B39-2.1)*0.0296)</f>
        <v>0.99704000000000004</v>
      </c>
      <c r="J41" s="125"/>
      <c r="K41" s="125"/>
      <c r="L41" s="125"/>
      <c r="M41" s="125"/>
      <c r="N41" s="125"/>
      <c r="O41" s="125"/>
      <c r="P41" s="125"/>
    </row>
    <row r="42" spans="1:16">
      <c r="A42" s="45" t="s">
        <v>86</v>
      </c>
      <c r="B42" s="45" t="s">
        <v>87</v>
      </c>
      <c r="C42" s="50" t="s">
        <v>88</v>
      </c>
      <c r="D42" s="51" t="s">
        <v>89</v>
      </c>
      <c r="E42" s="52" t="s">
        <v>88</v>
      </c>
      <c r="F42" s="51" t="s">
        <v>89</v>
      </c>
      <c r="G42" s="53" t="s">
        <v>88</v>
      </c>
      <c r="H42" s="54" t="s">
        <v>89</v>
      </c>
      <c r="J42" s="125"/>
      <c r="K42" s="125"/>
      <c r="L42" s="125"/>
      <c r="M42" s="125"/>
      <c r="N42" s="125"/>
      <c r="O42" s="125"/>
      <c r="P42" s="125"/>
    </row>
    <row r="43" spans="1:16">
      <c r="A43" s="70" t="s">
        <v>91</v>
      </c>
      <c r="B43" s="71" t="s">
        <v>92</v>
      </c>
      <c r="C43" s="55">
        <v>205</v>
      </c>
      <c r="D43" s="56">
        <f>0.4494*D41*B39</f>
        <v>22.3403481</v>
      </c>
      <c r="E43" s="55">
        <v>207.5</v>
      </c>
      <c r="F43" s="56">
        <f>0.4382*B39*F41</f>
        <v>21.7835793</v>
      </c>
      <c r="G43" s="56">
        <v>130</v>
      </c>
      <c r="H43" s="56">
        <f>0.761*B39*H41</f>
        <v>37.937371999999996</v>
      </c>
      <c r="J43" s="125"/>
      <c r="K43" s="125"/>
      <c r="L43" s="125"/>
      <c r="M43" s="125"/>
      <c r="N43" s="125"/>
      <c r="O43" s="125"/>
      <c r="P43" s="125"/>
    </row>
    <row r="44" spans="1:16">
      <c r="A44" s="57">
        <v>27.85</v>
      </c>
      <c r="B44" s="58">
        <f>A44+(9.6*B40+6.5*B39)/5445</f>
        <v>28.10362718089991</v>
      </c>
      <c r="C44" s="55">
        <v>200</v>
      </c>
      <c r="D44" s="56">
        <f>0.4717*D41*B39</f>
        <v>23.448914549999998</v>
      </c>
      <c r="E44" s="55">
        <v>202.5</v>
      </c>
      <c r="F44" s="117">
        <f>0.4605*B39*F41</f>
        <v>22.892145750000001</v>
      </c>
      <c r="G44" s="55">
        <v>127.5</v>
      </c>
      <c r="H44" s="56">
        <f>0.7694*B39*H41</f>
        <v>38.3561288</v>
      </c>
      <c r="J44" s="125"/>
      <c r="K44" s="125"/>
      <c r="L44" s="125"/>
      <c r="M44" s="125"/>
      <c r="N44" s="125"/>
      <c r="O44" s="125"/>
      <c r="P44" s="125"/>
    </row>
    <row r="45" spans="1:16">
      <c r="A45" s="70" t="s">
        <v>93</v>
      </c>
      <c r="B45" s="71" t="s">
        <v>94</v>
      </c>
      <c r="C45" s="55">
        <v>195</v>
      </c>
      <c r="D45" s="56">
        <f>0.4941*D41*B39</f>
        <v>24.562452149999999</v>
      </c>
      <c r="E45" s="55">
        <v>197.5</v>
      </c>
      <c r="F45" s="117">
        <f>0.4829*B39*F41</f>
        <v>24.005683349999998</v>
      </c>
      <c r="G45" s="56">
        <v>125</v>
      </c>
      <c r="H45" s="56">
        <f>0.778*B39*H41</f>
        <v>38.784855999999998</v>
      </c>
      <c r="J45" s="125"/>
      <c r="K45" s="125"/>
      <c r="L45" s="125"/>
      <c r="M45" s="125"/>
      <c r="N45" s="125"/>
      <c r="O45" s="125"/>
      <c r="P45" s="125"/>
    </row>
    <row r="46" spans="1:16">
      <c r="A46" s="59">
        <v>39</v>
      </c>
      <c r="B46" s="60">
        <f>A46+(9.6*B40+6.5*B39)/5445</f>
        <v>39.253627180899905</v>
      </c>
      <c r="C46" s="55">
        <v>190</v>
      </c>
      <c r="D46" s="56">
        <f>0.5162*D41*B39</f>
        <v>25.661076299999998</v>
      </c>
      <c r="E46" s="55">
        <v>192.5</v>
      </c>
      <c r="F46" s="117">
        <f>0.5051*B39*F41</f>
        <v>25.109278649999997</v>
      </c>
      <c r="G46" s="55">
        <v>122.5</v>
      </c>
      <c r="H46" s="56">
        <f>0.7865*B39*H41</f>
        <v>39.208597999999995</v>
      </c>
      <c r="J46" s="125"/>
      <c r="K46" s="125"/>
      <c r="L46" s="125"/>
      <c r="M46" s="125"/>
      <c r="N46" s="125"/>
      <c r="O46" s="125"/>
      <c r="P46" s="125"/>
    </row>
    <row r="47" spans="1:16">
      <c r="A47" s="128"/>
      <c r="B47" s="128"/>
      <c r="C47" s="61">
        <v>185</v>
      </c>
      <c r="D47" s="56">
        <f>0.5385*D41*B39</f>
        <v>26.769642749999999</v>
      </c>
      <c r="E47" s="55">
        <v>187.5</v>
      </c>
      <c r="F47" s="117">
        <f>0.5273*B39*F41</f>
        <v>26.212873949999999</v>
      </c>
      <c r="G47" s="56">
        <v>120</v>
      </c>
      <c r="H47" s="56">
        <f>0.795*B39*H41</f>
        <v>39.632339999999999</v>
      </c>
      <c r="J47" s="125"/>
      <c r="K47" s="125"/>
      <c r="L47" s="125"/>
      <c r="M47" s="125"/>
      <c r="N47" s="125"/>
      <c r="O47" s="125"/>
      <c r="P47" s="125"/>
    </row>
    <row r="48" spans="1:16">
      <c r="A48" s="326" t="s">
        <v>90</v>
      </c>
      <c r="B48" s="327"/>
      <c r="C48" s="55">
        <v>180</v>
      </c>
      <c r="D48" s="56">
        <f>0.5604*D41*B39</f>
        <v>27.8583246</v>
      </c>
      <c r="E48" s="55">
        <v>182.5</v>
      </c>
      <c r="F48" s="117">
        <f>0.5494*B39*F41</f>
        <v>27.311498099999998</v>
      </c>
      <c r="G48" s="55">
        <v>117.5</v>
      </c>
      <c r="H48" s="56">
        <f>0.8034*B39*H41</f>
        <v>40.051096800000003</v>
      </c>
      <c r="J48" s="125"/>
      <c r="K48" s="125"/>
      <c r="L48" s="125"/>
      <c r="M48" s="125"/>
      <c r="N48" s="125"/>
      <c r="O48" s="125"/>
      <c r="P48" s="125"/>
    </row>
    <row r="49" spans="1:16">
      <c r="A49" s="72" t="s">
        <v>91</v>
      </c>
      <c r="B49" s="73" t="s">
        <v>92</v>
      </c>
      <c r="C49" s="55">
        <v>175</v>
      </c>
      <c r="D49" s="56">
        <f>0.582*D41*B39</f>
        <v>28.932092999999998</v>
      </c>
      <c r="E49" s="55">
        <v>177.5</v>
      </c>
      <c r="F49" s="117">
        <f>0.5712*B39*F41</f>
        <v>28.395208800000002</v>
      </c>
      <c r="G49" s="56">
        <v>115</v>
      </c>
      <c r="H49" s="56">
        <f>0.8114*B39*H41</f>
        <v>40.4499128</v>
      </c>
      <c r="J49" s="125"/>
      <c r="K49" s="125"/>
      <c r="L49" s="125"/>
      <c r="M49" s="125"/>
      <c r="N49" s="125"/>
      <c r="O49" s="125"/>
      <c r="P49" s="125"/>
    </row>
    <row r="50" spans="1:16">
      <c r="A50" s="62">
        <f>IF(AND(A44&gt;D43,A44&lt;=D44),205-((A44-D43)/(D44-D43))*5,IF(AND(A44&gt;D44,A44&lt;=D45),200-((A44-D44)/(D45-D44))*5,IF(AND(A44&gt;D45,A44&lt;=D46),195-((A44-D45)/(D46-D45))*5,IF(AND(A44&gt;D46,A44&lt;=D47),190-((A44-D46)/(D47-D46))*5,IF(AND(A44&gt;D47,A44&lt;=D48),185-((A44-D47)/(D48-D47))*5,IF(AND(A44&gt;D48,A44&lt;=D49),180-((A44-D48)/(D49-D48))*5,IF(AND(A44&gt;D49,A44&lt;=D50),175-((A44-D49)/(D50-D49))*5,IF(AND(A44&gt;D50,A44&lt;=D51),170-((A44-D50)/(D51-D50))*5,IF(AND(A44&gt;D51,A44&lt;=D52),165-((A44-D51)/(D52-D51))*5,0)))))))))</f>
        <v>180.03823247351832</v>
      </c>
      <c r="B50" s="63">
        <f>IF(AND(B44&gt;D43,B44&lt;=D44),205-((B44-D43)/(D44-D43))*5,IF(AND(B44&gt;D44,B44&lt;=D45),200-((B44-D44)/(D45-D44))*5,IF(AND(B44&gt;D45,B44&lt;=D46),195-((B44-D45)/(D46-D45))*5,IF(AND(B44&gt;D46,B44&lt;=D47),190-((B44-D46)/(D47-D46))*5,IF(AND(B44&gt;D47,B44&lt;=D48),185-((B44-D47)/(D48-D47))*5,IF(AND(B44&gt;D48,B44&lt;=D49),180-((B44-D48)/(D49-D48))*5,IF(AND(B44&gt;D49,B44&lt;=D50),175-((B44-D49)/(D50-D49))*5,IF(AND(B44&gt;D50,B44&lt;=D51),170-((B44-D50)/(D51-D50))*5,IF(AND(B44&gt;D51,B44&lt;=D52),165-((B44-D51)/(D52-D51))*5,0)))))))))</f>
        <v>178.8577491156384</v>
      </c>
      <c r="C50" s="55">
        <v>170</v>
      </c>
      <c r="D50" s="56">
        <f>0.6035*D41*B39</f>
        <v>30.000890250000001</v>
      </c>
      <c r="E50" s="55">
        <v>172.5</v>
      </c>
      <c r="F50" s="117">
        <f>0.5927*B39*F41</f>
        <v>29.464006049999998</v>
      </c>
      <c r="G50" s="64">
        <v>112.5</v>
      </c>
      <c r="H50" s="65">
        <f>0.8193*B39*H41</f>
        <v>40.843743600000003</v>
      </c>
      <c r="J50" s="125"/>
      <c r="K50" s="125"/>
      <c r="L50" s="125"/>
      <c r="M50" s="125"/>
      <c r="N50" s="125"/>
      <c r="O50" s="125"/>
      <c r="P50" s="125"/>
    </row>
    <row r="51" spans="1:16">
      <c r="A51" s="74" t="s">
        <v>93</v>
      </c>
      <c r="B51" s="75" t="s">
        <v>94</v>
      </c>
      <c r="C51" s="55">
        <v>165</v>
      </c>
      <c r="D51" s="56">
        <f>0.6246*D41*B39</f>
        <v>31.0498029</v>
      </c>
      <c r="E51" s="55">
        <v>167.5</v>
      </c>
      <c r="F51" s="117">
        <f>0.614*B39*F41</f>
        <v>30.522860999999999</v>
      </c>
      <c r="G51" s="65">
        <v>110</v>
      </c>
      <c r="H51" s="65">
        <f>0.827*B39*H41</f>
        <v>41.227603999999992</v>
      </c>
      <c r="J51" s="125"/>
      <c r="K51" s="125"/>
      <c r="L51" s="125"/>
      <c r="M51" s="125"/>
      <c r="N51" s="125"/>
      <c r="O51" s="125"/>
      <c r="P51" s="125"/>
    </row>
    <row r="52" spans="1:16">
      <c r="A52" s="66">
        <f>IF(AND(A46&gt;H43,A46&lt;=H44),130-((A46-H43)/(H44-H43))*2.5,IF(AND(A46&gt;H44,A46&lt;=H45),127.5-((A46-H44)/(H45-H44))*2.5,IF(AND(A46&gt;H45,A46&lt;=H46),125-((A46-H45)/(H46-H45))*2.5,IF(AND(A46&gt;H46,A46&lt;=H47),122.5-((A46-H46)/(H47-H46))*2.5,IF(AND(A46&gt;H47,A46&lt;=H48),120-((A46-H47)/(H48-H47))*2.5,IF(AND(A46&gt;H48,A46&lt;=H49),117.5-((A46-H48)/(H49-H48))*2.5,IF(AND(A46&gt;H49,A46&lt;=H50),115-((A46-H49)/(H50-H49))*2.5,IF(AND(A46&gt;H50,A46&lt;=H51),112.5-((A46-H50)/(H51-H50))*2.5,IF(AND(A46&gt;H51,A46&lt;=H52),110-((A46-H51)/(H52-H51))*2.5,0)))))))))</f>
        <v>123.73068990093026</v>
      </c>
      <c r="B52" s="67">
        <f>IF(AND(B46&gt;H43,B46&lt;=H44),130-((B46-H43)/(H44-H43))*2.5,IF(AND(B46&gt;H44,B46&lt;=H45),127.5-((B46-H44)/(H45-H44))*2.5,IF(AND(B46&gt;H45,B46&lt;=H46),125-((B46-H45)/(H46-H45))*2.5,IF(AND(B46&gt;H46,B46&lt;=H47),122.5-((B46-H46)/(H47-H46))*2.5,IF(AND(B46&gt;H47,B46&lt;=H48),120-((B46-H47)/(H48-H47))*2.5,IF(AND(B46&gt;H48,B46&lt;=H49),117.5-((B46-H48)/(H49-H48))*2.5,IF(AND(B46&gt;H49,B46&lt;=H50),115-((B46-H49)/(H50-H49))*2.5,IF(AND(B46&gt;H50,B46&lt;=H51),112.5-((B46-H50)/(H51-H50))*2.5,IF(AND(B46&gt;H51,B46&lt;=H52),110-((B46-H51)/(H52-H51))*2.5,0)))))))))</f>
        <v>122.2343361001511</v>
      </c>
      <c r="C52" s="55">
        <v>160</v>
      </c>
      <c r="D52" s="56">
        <f>0.6458*D41*B39</f>
        <v>32.103686699999997</v>
      </c>
      <c r="E52" s="55">
        <v>162.5</v>
      </c>
      <c r="F52" s="56">
        <f>0.6352*B39*F41</f>
        <v>31.576744799999997</v>
      </c>
      <c r="G52" s="64">
        <v>107.5</v>
      </c>
      <c r="H52" s="65">
        <f>0.8347*B39*H41</f>
        <v>41.611464400000003</v>
      </c>
      <c r="J52" s="125"/>
      <c r="K52" s="125"/>
      <c r="L52" s="125"/>
      <c r="M52" s="125"/>
      <c r="N52" s="125"/>
      <c r="O52" s="125"/>
      <c r="P52" s="125"/>
    </row>
    <row r="53" spans="1:16" ht="16" thickBot="1">
      <c r="J53" s="125"/>
      <c r="K53" s="125"/>
      <c r="L53" s="125"/>
      <c r="M53" s="125"/>
      <c r="N53" s="125"/>
      <c r="O53" s="125"/>
      <c r="P53" s="125"/>
    </row>
    <row r="54" spans="1:16" ht="24" thickBot="1">
      <c r="B54" s="322" t="s">
        <v>110</v>
      </c>
      <c r="C54" s="323"/>
      <c r="E54" s="337" t="s">
        <v>123</v>
      </c>
      <c r="F54" s="338"/>
      <c r="G54" s="339"/>
      <c r="H54" s="335" t="s">
        <v>219</v>
      </c>
      <c r="I54" s="336"/>
      <c r="J54" s="125"/>
      <c r="K54" s="125"/>
      <c r="L54" s="125"/>
      <c r="M54" s="125"/>
      <c r="N54" s="125"/>
      <c r="O54" s="125"/>
      <c r="P54" s="125"/>
    </row>
    <row r="55" spans="1:16">
      <c r="A55" t="s">
        <v>269</v>
      </c>
      <c r="B55" s="324" t="s">
        <v>98</v>
      </c>
      <c r="C55" s="325"/>
      <c r="D55" s="206" t="s">
        <v>236</v>
      </c>
      <c r="E55" s="343" t="s">
        <v>116</v>
      </c>
      <c r="F55" s="344"/>
      <c r="G55" s="192">
        <v>100</v>
      </c>
      <c r="H55" s="189" t="s">
        <v>218</v>
      </c>
      <c r="I55" s="190"/>
      <c r="J55" s="125"/>
      <c r="K55" s="125"/>
      <c r="L55" s="125"/>
      <c r="M55" s="125"/>
      <c r="N55" s="125"/>
      <c r="O55" s="125"/>
      <c r="P55" s="125"/>
    </row>
    <row r="56" spans="1:16">
      <c r="A56" t="s">
        <v>270</v>
      </c>
      <c r="B56" s="76" t="s">
        <v>99</v>
      </c>
      <c r="C56" s="77" t="s">
        <v>268</v>
      </c>
      <c r="D56" s="207" t="s">
        <v>222</v>
      </c>
      <c r="E56" s="343" t="s">
        <v>125</v>
      </c>
      <c r="F56" s="344"/>
      <c r="G56" s="192">
        <v>87</v>
      </c>
      <c r="H56" s="191" t="s">
        <v>217</v>
      </c>
      <c r="I56" s="192">
        <v>72</v>
      </c>
      <c r="J56" s="125"/>
      <c r="K56" s="125"/>
      <c r="L56" s="125"/>
      <c r="M56" s="125"/>
      <c r="N56" s="125"/>
      <c r="O56" s="125"/>
      <c r="P56" s="125"/>
    </row>
    <row r="57" spans="1:16">
      <c r="A57" t="s">
        <v>271</v>
      </c>
      <c r="B57" s="78">
        <v>6</v>
      </c>
      <c r="C57" s="79">
        <v>2.13</v>
      </c>
      <c r="E57" s="246" t="s">
        <v>276</v>
      </c>
      <c r="F57" s="92" t="s">
        <v>117</v>
      </c>
      <c r="G57" s="196">
        <v>27</v>
      </c>
      <c r="H57" s="193" t="s">
        <v>237</v>
      </c>
      <c r="I57" s="194">
        <f>I56/G55</f>
        <v>0.72</v>
      </c>
      <c r="J57" s="125"/>
      <c r="K57" s="125"/>
      <c r="L57" s="125"/>
      <c r="M57" s="125"/>
      <c r="N57" s="125"/>
      <c r="O57" s="125"/>
      <c r="P57" s="125"/>
    </row>
    <row r="58" spans="1:16" ht="18">
      <c r="A58" t="s">
        <v>273</v>
      </c>
      <c r="B58" s="76" t="s">
        <v>101</v>
      </c>
      <c r="C58" s="80" t="s">
        <v>102</v>
      </c>
      <c r="E58" s="247">
        <f>G56/G55</f>
        <v>0.87</v>
      </c>
      <c r="F58" s="92" t="s">
        <v>118</v>
      </c>
      <c r="G58" s="196">
        <v>0.48</v>
      </c>
      <c r="H58" s="244" t="s">
        <v>216</v>
      </c>
      <c r="I58" s="192">
        <v>345</v>
      </c>
      <c r="J58" s="248" t="s">
        <v>277</v>
      </c>
      <c r="K58" s="198" t="s">
        <v>220</v>
      </c>
      <c r="L58" s="198" t="s">
        <v>223</v>
      </c>
      <c r="M58" s="198" t="s">
        <v>226</v>
      </c>
    </row>
    <row r="59" spans="1:16" ht="16" thickBot="1">
      <c r="A59" t="s">
        <v>272</v>
      </c>
      <c r="B59" s="81">
        <v>1.8049999999999999</v>
      </c>
      <c r="C59" s="82">
        <f>DEGREES(ATAN((C57-B59)/B57))</f>
        <v>3.1004914498077794</v>
      </c>
      <c r="E59" s="345" t="s">
        <v>119</v>
      </c>
      <c r="F59" s="346"/>
      <c r="G59" s="197">
        <f>(G55/G56)*((G58*1000)/G57)</f>
        <v>20.434227330779056</v>
      </c>
      <c r="H59" s="195" t="s">
        <v>118</v>
      </c>
      <c r="I59" s="208">
        <f>(I58/I57)/1000</f>
        <v>0.47916666666666669</v>
      </c>
      <c r="K59" s="43" t="s">
        <v>221</v>
      </c>
      <c r="L59" s="43" t="s">
        <v>224</v>
      </c>
      <c r="M59" s="43">
        <v>0.97</v>
      </c>
    </row>
    <row r="60" spans="1:16" ht="19" thickBot="1">
      <c r="B60" s="319" t="s">
        <v>103</v>
      </c>
      <c r="C60" s="320"/>
      <c r="E60" s="265"/>
      <c r="F60" s="266"/>
      <c r="G60" s="267"/>
      <c r="I60" s="317" t="s">
        <v>178</v>
      </c>
      <c r="J60" s="318"/>
      <c r="K60" s="249" t="s">
        <v>222</v>
      </c>
      <c r="L60" s="43" t="s">
        <v>225</v>
      </c>
      <c r="M60" s="43">
        <v>0.87</v>
      </c>
    </row>
    <row r="61" spans="1:16" ht="20">
      <c r="B61" s="76" t="s">
        <v>104</v>
      </c>
      <c r="C61" s="77" t="s">
        <v>100</v>
      </c>
      <c r="E61" s="340" t="s">
        <v>124</v>
      </c>
      <c r="F61" s="341"/>
      <c r="G61" s="342"/>
      <c r="I61" s="244" t="s">
        <v>179</v>
      </c>
      <c r="J61" s="251">
        <v>180</v>
      </c>
      <c r="K61" s="249" t="s">
        <v>243</v>
      </c>
      <c r="L61" s="43" t="s">
        <v>242</v>
      </c>
      <c r="M61" s="43">
        <v>0.86</v>
      </c>
    </row>
    <row r="62" spans="1:16">
      <c r="B62" s="78">
        <v>2</v>
      </c>
      <c r="C62" s="79">
        <v>2.72</v>
      </c>
      <c r="E62" s="343" t="s">
        <v>120</v>
      </c>
      <c r="F62" s="344"/>
      <c r="G62" s="192">
        <v>2.8</v>
      </c>
      <c r="I62" s="244" t="s">
        <v>180</v>
      </c>
      <c r="J62" s="251">
        <v>115</v>
      </c>
      <c r="K62" s="249"/>
      <c r="L62" s="43"/>
      <c r="M62" s="43"/>
    </row>
    <row r="63" spans="1:16">
      <c r="B63" s="76" t="s">
        <v>105</v>
      </c>
      <c r="C63" s="80" t="s">
        <v>106</v>
      </c>
      <c r="E63" s="343" t="s">
        <v>126</v>
      </c>
      <c r="F63" s="344"/>
      <c r="G63" s="192">
        <v>2.4300000000000002</v>
      </c>
      <c r="I63" s="244" t="s">
        <v>209</v>
      </c>
      <c r="J63" s="251">
        <v>8000</v>
      </c>
    </row>
    <row r="64" spans="1:16" ht="16" thickBot="1">
      <c r="B64" s="81">
        <v>0.62</v>
      </c>
      <c r="C64" s="82">
        <f>C62-2*TAN(RADIANS((B62)/2))*B64</f>
        <v>2.6983557194890104</v>
      </c>
      <c r="E64" s="246" t="s">
        <v>226</v>
      </c>
      <c r="F64" s="92" t="s">
        <v>117</v>
      </c>
      <c r="G64" s="196">
        <v>27</v>
      </c>
      <c r="I64" s="256" t="s">
        <v>181</v>
      </c>
      <c r="J64" s="257">
        <v>1</v>
      </c>
      <c r="K64" s="300" t="s">
        <v>183</v>
      </c>
      <c r="L64" s="300"/>
      <c r="M64" s="300"/>
      <c r="N64" s="300"/>
      <c r="O64" s="300"/>
      <c r="P64" s="300"/>
    </row>
    <row r="65" spans="2:13">
      <c r="B65" s="310" t="s">
        <v>107</v>
      </c>
      <c r="C65" s="311"/>
      <c r="E65" s="264">
        <f>G63/G62</f>
        <v>0.86785714285714299</v>
      </c>
      <c r="F65" s="92" t="s">
        <v>121</v>
      </c>
      <c r="G65" s="196">
        <v>3.75</v>
      </c>
      <c r="I65" s="258" t="s">
        <v>182</v>
      </c>
      <c r="J65" s="259">
        <f>(J61-J62)/2</f>
        <v>32.5</v>
      </c>
      <c r="K65" s="260" t="s">
        <v>179</v>
      </c>
      <c r="L65" s="261" t="s">
        <v>180</v>
      </c>
    </row>
    <row r="66" spans="2:13" ht="16" thickBot="1">
      <c r="B66" s="83" t="s">
        <v>104</v>
      </c>
      <c r="C66" s="84" t="s">
        <v>100</v>
      </c>
      <c r="E66" s="345" t="s">
        <v>122</v>
      </c>
      <c r="F66" s="346"/>
      <c r="G66" s="197">
        <f>(G62/G63)*((G65*128)/G64)</f>
        <v>20.484682213077274</v>
      </c>
      <c r="I66" s="252" t="s">
        <v>212</v>
      </c>
      <c r="J66" s="253">
        <f>IF(J64=1,(J63-7500)/600+32.5,(J63-6750)/800+26.25)</f>
        <v>33.333333333333336</v>
      </c>
      <c r="K66" s="250">
        <f>(J66*2)+J62</f>
        <v>181.66666666666669</v>
      </c>
      <c r="L66" s="253">
        <f>J61-(J66*2)</f>
        <v>113.33333333333333</v>
      </c>
    </row>
    <row r="67" spans="2:13" ht="16" thickBot="1">
      <c r="B67" s="78">
        <v>1.57</v>
      </c>
      <c r="C67" s="79">
        <v>2.67</v>
      </c>
      <c r="E67" s="127"/>
      <c r="F67" s="127"/>
      <c r="G67" s="127"/>
      <c r="H67" s="127"/>
      <c r="I67" s="254" t="s">
        <v>213</v>
      </c>
      <c r="J67" s="255">
        <f>IF(J64=1,(J63-5250)/800+26.25,(J63-3500)/IF(J63&gt;5000,800,400)+17.5)</f>
        <v>29.6875</v>
      </c>
      <c r="K67" s="262">
        <f>(J67*2)+J62</f>
        <v>174.375</v>
      </c>
      <c r="L67" s="263">
        <f>J61-(J67*2)</f>
        <v>120.625</v>
      </c>
    </row>
    <row r="68" spans="2:13" ht="19" thickBot="1">
      <c r="B68" s="76" t="s">
        <v>101</v>
      </c>
      <c r="C68" s="80" t="s">
        <v>108</v>
      </c>
      <c r="E68" s="307" t="s">
        <v>135</v>
      </c>
      <c r="F68" s="308"/>
      <c r="G68" s="309"/>
      <c r="H68" s="127"/>
      <c r="K68" s="127"/>
      <c r="L68" s="127"/>
    </row>
    <row r="69" spans="2:13" ht="19" thickBot="1">
      <c r="B69" s="81">
        <v>2.5150000000000001</v>
      </c>
      <c r="C69" s="85">
        <f>(C67-B69)/TAN(RADIANS(B67))</f>
        <v>5.6551738733667767</v>
      </c>
      <c r="E69" s="5" t="s">
        <v>131</v>
      </c>
      <c r="F69" s="101">
        <v>22.5</v>
      </c>
      <c r="G69" s="125"/>
      <c r="H69" s="127"/>
      <c r="I69" s="164" t="s">
        <v>187</v>
      </c>
      <c r="J69" s="164" t="s">
        <v>193</v>
      </c>
      <c r="K69" s="167" t="s">
        <v>194</v>
      </c>
      <c r="L69" s="167" t="s">
        <v>197</v>
      </c>
      <c r="M69" s="167" t="s">
        <v>196</v>
      </c>
    </row>
    <row r="70" spans="2:13" ht="19" thickBot="1">
      <c r="B70" s="310" t="s">
        <v>109</v>
      </c>
      <c r="C70" s="311"/>
      <c r="E70" s="5" t="s">
        <v>129</v>
      </c>
      <c r="F70" s="101">
        <v>56</v>
      </c>
      <c r="G70" s="125"/>
      <c r="H70" s="161"/>
      <c r="I70" s="165" t="s">
        <v>188</v>
      </c>
      <c r="J70" s="165" t="s">
        <v>192</v>
      </c>
      <c r="K70" s="168" t="s">
        <v>192</v>
      </c>
      <c r="L70" s="168" t="s">
        <v>192</v>
      </c>
      <c r="M70" s="168" t="s">
        <v>192</v>
      </c>
    </row>
    <row r="71" spans="2:13" ht="16">
      <c r="B71" s="83" t="s">
        <v>104</v>
      </c>
      <c r="C71" s="84" t="s">
        <v>101</v>
      </c>
      <c r="E71" s="5" t="s">
        <v>136</v>
      </c>
      <c r="F71" s="101">
        <v>6.66</v>
      </c>
      <c r="G71" s="125"/>
      <c r="H71" s="161"/>
      <c r="I71" s="162" t="s">
        <v>191</v>
      </c>
      <c r="J71" s="169" t="s">
        <v>190</v>
      </c>
      <c r="K71" s="162" t="s">
        <v>195</v>
      </c>
      <c r="L71" s="162" t="s">
        <v>198</v>
      </c>
      <c r="M71" s="162" t="s">
        <v>199</v>
      </c>
    </row>
    <row r="72" spans="2:13" ht="16">
      <c r="B72" s="78">
        <v>1</v>
      </c>
      <c r="C72" s="79">
        <v>2.105</v>
      </c>
      <c r="E72" s="120" t="s">
        <v>1</v>
      </c>
      <c r="F72" s="10">
        <f>(F69*5280*F70)/(2.43*60*F71)</f>
        <v>6851.2957401846279</v>
      </c>
      <c r="G72" s="125"/>
      <c r="H72" s="161"/>
      <c r="I72" s="163">
        <v>73</v>
      </c>
      <c r="J72" s="170">
        <v>7.5</v>
      </c>
      <c r="K72" s="163">
        <v>160</v>
      </c>
      <c r="L72" s="163">
        <v>70</v>
      </c>
      <c r="M72" s="163">
        <v>150</v>
      </c>
    </row>
    <row r="73" spans="2:13" ht="16">
      <c r="B73" s="76" t="s">
        <v>105</v>
      </c>
      <c r="C73" s="80" t="s">
        <v>100</v>
      </c>
      <c r="E73" s="129"/>
      <c r="F73" s="125"/>
      <c r="G73" s="125"/>
      <c r="H73" s="127"/>
      <c r="I73" s="162" t="s">
        <v>184</v>
      </c>
      <c r="J73" s="171" t="s">
        <v>21</v>
      </c>
      <c r="K73" s="172" t="s">
        <v>21</v>
      </c>
      <c r="L73" s="172" t="s">
        <v>21</v>
      </c>
      <c r="M73" s="172" t="s">
        <v>21</v>
      </c>
    </row>
    <row r="74" spans="2:13" ht="17" thickBot="1">
      <c r="B74" s="81">
        <v>7.5</v>
      </c>
      <c r="C74" s="82">
        <f>2*TAN(RADIANS((B72)/2))*B74+C72</f>
        <v>2.235903016861382</v>
      </c>
      <c r="E74" s="121" t="s">
        <v>133</v>
      </c>
      <c r="F74" s="98">
        <v>46.2</v>
      </c>
      <c r="G74" s="125"/>
      <c r="H74" s="127"/>
      <c r="I74" s="163">
        <v>0</v>
      </c>
      <c r="J74" s="173">
        <f>2*SQRT(((J72/80)*0.5)/3.14)</f>
        <v>0.24436320466915298</v>
      </c>
      <c r="K74" s="174">
        <f>IF(K72&gt;90,(90+((K72-90)*0.81))/100,IF(K72=90,0.9,IF(K72&lt;90,(90-((90-K72)*0.81))/100,0)))</f>
        <v>1.4669999999999999</v>
      </c>
      <c r="L74" s="174">
        <f>L72*0.01</f>
        <v>0.70000000000000007</v>
      </c>
      <c r="M74" s="174">
        <f>M72*0.01</f>
        <v>1.5</v>
      </c>
    </row>
    <row r="75" spans="2:13" ht="16">
      <c r="E75" s="121" t="s">
        <v>129</v>
      </c>
      <c r="F75" s="98">
        <v>44</v>
      </c>
      <c r="G75" s="125"/>
      <c r="H75" s="127"/>
      <c r="I75" s="172" t="s">
        <v>185</v>
      </c>
      <c r="J75" s="171" t="s">
        <v>189</v>
      </c>
      <c r="K75" s="172" t="s">
        <v>189</v>
      </c>
      <c r="L75" s="172" t="s">
        <v>189</v>
      </c>
      <c r="M75" s="172" t="s">
        <v>189</v>
      </c>
    </row>
    <row r="76" spans="2:13" ht="18">
      <c r="B76" s="304" t="s">
        <v>134</v>
      </c>
      <c r="C76" s="305"/>
      <c r="E76" s="121" t="s">
        <v>137</v>
      </c>
      <c r="F76" s="98">
        <v>2.0299999999999998</v>
      </c>
      <c r="G76" s="125"/>
      <c r="H76" s="127"/>
      <c r="I76" s="174">
        <f>IF(AND(I72&gt;0,I74&gt;0),0,IF(I72&gt;0,2*SQRT((I78)/3.14),I74*0.0096))</f>
        <v>0.76237142593541796</v>
      </c>
      <c r="J76" s="173">
        <f>(((2*SQRT(((J72/80)*0.5)/3.14))/2)^2)*3.14</f>
        <v>4.6875000000000007E-2</v>
      </c>
      <c r="K76" s="174">
        <f>3.14*(K74/2)^2</f>
        <v>1.6893898649999999</v>
      </c>
      <c r="L76" s="173">
        <f>((L74/2)^2)*3.14</f>
        <v>0.3846500000000001</v>
      </c>
      <c r="M76" s="173">
        <f>((M74/2)^2)*3.14</f>
        <v>1.7662500000000001</v>
      </c>
    </row>
    <row r="77" spans="2:13" ht="16">
      <c r="B77" s="96" t="s">
        <v>1</v>
      </c>
      <c r="C77" s="98">
        <v>9000</v>
      </c>
      <c r="E77" s="242" t="s">
        <v>1</v>
      </c>
      <c r="F77" s="102">
        <f>(F74*1000*F75)/(2.43*60*F76)</f>
        <v>6868.1708528451827</v>
      </c>
      <c r="G77" s="125"/>
      <c r="H77" s="127"/>
      <c r="I77" s="172" t="s">
        <v>186</v>
      </c>
      <c r="J77" s="175"/>
      <c r="K77" s="176"/>
      <c r="L77" s="176"/>
      <c r="M77" s="175"/>
    </row>
    <row r="78" spans="2:13" ht="16">
      <c r="B78" s="96" t="s">
        <v>129</v>
      </c>
      <c r="C78" s="98">
        <v>44</v>
      </c>
      <c r="H78" s="127"/>
      <c r="I78" s="174">
        <f>IF(AND(I72&gt;0,I74&gt;0),0,IF(I72&gt;0,(I72/80)*0.5,((I76/2)^2)*3.14))</f>
        <v>0.45624999999999999</v>
      </c>
      <c r="J78" s="175"/>
      <c r="K78" s="176"/>
      <c r="L78" s="176"/>
      <c r="M78" s="175"/>
    </row>
    <row r="79" spans="2:13">
      <c r="B79" s="96" t="s">
        <v>130</v>
      </c>
      <c r="C79" s="98">
        <v>6.66</v>
      </c>
      <c r="E79" s="122" t="s">
        <v>162</v>
      </c>
      <c r="F79" s="125"/>
      <c r="G79" s="124" t="s">
        <v>165</v>
      </c>
      <c r="H79" s="2"/>
      <c r="I79" s="127"/>
      <c r="J79" s="127"/>
      <c r="K79" s="127"/>
      <c r="L79" s="127"/>
    </row>
    <row r="80" spans="2:13">
      <c r="B80" s="97" t="s">
        <v>131</v>
      </c>
      <c r="C80" s="99">
        <f>(C77*0.243*(10/C78)*60*C79)/5280</f>
        <v>37.61730371900827</v>
      </c>
      <c r="E80" s="121" t="s">
        <v>163</v>
      </c>
      <c r="F80" s="101">
        <v>60</v>
      </c>
      <c r="G80" s="5" t="s">
        <v>164</v>
      </c>
      <c r="H80" s="101">
        <v>96.5</v>
      </c>
    </row>
    <row r="81" spans="1:14">
      <c r="B81" s="125"/>
      <c r="C81" s="125"/>
      <c r="E81" s="123" t="s">
        <v>164</v>
      </c>
      <c r="F81" s="4">
        <f>F80*1.609</f>
        <v>96.539999999999992</v>
      </c>
      <c r="G81" s="11" t="s">
        <v>163</v>
      </c>
      <c r="H81" s="4">
        <f>H80*0.621</f>
        <v>59.926499999999997</v>
      </c>
      <c r="I81" s="125"/>
      <c r="J81" s="125"/>
      <c r="K81" s="125"/>
      <c r="L81" s="125"/>
      <c r="M81" s="125"/>
    </row>
    <row r="82" spans="1:14">
      <c r="B82" s="96" t="s">
        <v>1</v>
      </c>
      <c r="C82" s="98">
        <v>7300</v>
      </c>
      <c r="H82" s="125"/>
      <c r="I82" s="125"/>
      <c r="J82" s="125"/>
      <c r="K82" s="125"/>
      <c r="L82" s="125"/>
      <c r="M82" s="125"/>
    </row>
    <row r="83" spans="1:14">
      <c r="B83" s="96" t="s">
        <v>129</v>
      </c>
      <c r="C83" s="98">
        <v>44</v>
      </c>
      <c r="H83" s="125"/>
      <c r="I83" s="125"/>
      <c r="J83" s="125"/>
      <c r="K83" s="125"/>
      <c r="L83" s="125"/>
      <c r="M83" s="125"/>
    </row>
    <row r="84" spans="1:14">
      <c r="B84" s="96" t="s">
        <v>132</v>
      </c>
      <c r="C84" s="98">
        <v>2.0299999999999998</v>
      </c>
      <c r="E84" s="125"/>
      <c r="F84" s="125"/>
      <c r="G84" s="125"/>
      <c r="H84" s="125"/>
      <c r="I84" s="125"/>
      <c r="J84" s="125"/>
      <c r="K84" s="125"/>
      <c r="L84" s="125"/>
      <c r="M84" s="125"/>
    </row>
    <row r="85" spans="1:14" ht="18">
      <c r="B85" s="97" t="s">
        <v>133</v>
      </c>
      <c r="C85" s="4">
        <f>(C82*0.243*(10/C83)*60*C84)/1000</f>
        <v>49.104777272727262</v>
      </c>
      <c r="E85" s="125"/>
      <c r="F85" s="304" t="s">
        <v>128</v>
      </c>
      <c r="G85" s="305"/>
      <c r="H85" s="126" t="s">
        <v>139</v>
      </c>
      <c r="I85" s="125"/>
      <c r="J85" s="125"/>
      <c r="K85" s="125"/>
      <c r="L85" s="125"/>
      <c r="M85" s="125"/>
    </row>
    <row r="86" spans="1:14">
      <c r="E86" s="125"/>
      <c r="F86" s="274" t="s">
        <v>304</v>
      </c>
      <c r="G86" s="43">
        <v>220</v>
      </c>
      <c r="H86" s="125"/>
      <c r="I86" s="125"/>
      <c r="J86" s="125"/>
      <c r="K86" s="125"/>
      <c r="L86" s="125"/>
      <c r="M86" s="125"/>
    </row>
    <row r="87" spans="1:14" ht="19" thickBot="1">
      <c r="A87" s="149"/>
      <c r="B87" s="306" t="s">
        <v>174</v>
      </c>
      <c r="C87" s="306"/>
      <c r="E87" s="125"/>
      <c r="F87" s="94" t="s">
        <v>127</v>
      </c>
      <c r="G87" s="43">
        <v>60</v>
      </c>
      <c r="H87" s="125"/>
      <c r="I87" s="125"/>
      <c r="J87" s="125"/>
      <c r="K87" s="125"/>
      <c r="L87" s="125"/>
      <c r="M87" s="125"/>
    </row>
    <row r="88" spans="1:14">
      <c r="A88" s="149"/>
      <c r="B88" s="156" t="s">
        <v>138</v>
      </c>
      <c r="C88" s="150">
        <v>175</v>
      </c>
      <c r="E88" s="125"/>
      <c r="F88" s="95" t="s">
        <v>305</v>
      </c>
      <c r="G88" s="10">
        <f>G86/RADIANS(G87)</f>
        <v>210.08452488130186</v>
      </c>
      <c r="H88" s="125"/>
      <c r="I88" s="125"/>
      <c r="J88" s="125"/>
      <c r="K88" s="125"/>
      <c r="L88" s="125"/>
      <c r="M88" s="125"/>
    </row>
    <row r="89" spans="1:14">
      <c r="A89" s="155" t="s">
        <v>207</v>
      </c>
      <c r="B89" s="154" t="s">
        <v>176</v>
      </c>
      <c r="C89" s="151">
        <v>670</v>
      </c>
      <c r="E89" s="125"/>
      <c r="F89" s="125"/>
      <c r="G89" s="125"/>
      <c r="H89" s="125"/>
      <c r="I89" s="125"/>
      <c r="J89" s="125"/>
      <c r="K89" s="125"/>
      <c r="L89" s="125"/>
      <c r="M89" s="125"/>
    </row>
    <row r="90" spans="1:14">
      <c r="A90" s="149"/>
      <c r="B90" s="157" t="s">
        <v>175</v>
      </c>
      <c r="C90" s="152">
        <f>(C88*40800)/C89</f>
        <v>10656.716417910447</v>
      </c>
      <c r="H90" s="125"/>
      <c r="I90" s="125"/>
      <c r="J90" s="125"/>
      <c r="K90" s="125"/>
      <c r="L90" s="125"/>
      <c r="M90" s="125"/>
    </row>
    <row r="91" spans="1:14" ht="16" thickBot="1">
      <c r="A91" s="149"/>
      <c r="B91" s="159" t="s">
        <v>173</v>
      </c>
      <c r="C91" s="160">
        <f>0.73*C90</f>
        <v>7779.4029850746265</v>
      </c>
      <c r="H91" s="125"/>
      <c r="I91" s="125"/>
      <c r="J91" s="125"/>
      <c r="K91" s="125"/>
      <c r="L91" s="125"/>
      <c r="M91" s="125"/>
    </row>
    <row r="92" spans="1:14" ht="20">
      <c r="A92" s="149"/>
      <c r="B92" s="156" t="s">
        <v>138</v>
      </c>
      <c r="C92" s="150">
        <v>184</v>
      </c>
      <c r="E92" s="312" t="s">
        <v>303</v>
      </c>
      <c r="F92" s="313"/>
      <c r="G92" s="139"/>
      <c r="H92" s="140" t="s">
        <v>70</v>
      </c>
      <c r="I92" s="125"/>
      <c r="J92" s="125"/>
      <c r="K92" s="125"/>
      <c r="L92" s="125"/>
      <c r="M92" s="125"/>
    </row>
    <row r="93" spans="1:14">
      <c r="A93" s="155" t="s">
        <v>208</v>
      </c>
      <c r="B93" s="154" t="s">
        <v>177</v>
      </c>
      <c r="C93" s="151">
        <v>23</v>
      </c>
      <c r="E93" s="5" t="s">
        <v>71</v>
      </c>
      <c r="F93" s="5" t="s">
        <v>72</v>
      </c>
      <c r="G93" s="5" t="s">
        <v>73</v>
      </c>
      <c r="H93" s="12" t="s">
        <v>74</v>
      </c>
      <c r="I93" s="125"/>
      <c r="J93" s="125"/>
      <c r="K93" s="125"/>
      <c r="L93" s="125"/>
      <c r="M93" s="125"/>
    </row>
    <row r="94" spans="1:14">
      <c r="A94" s="149"/>
      <c r="B94" s="157" t="s">
        <v>175</v>
      </c>
      <c r="C94" s="152">
        <f>(C92*1606)/C93</f>
        <v>12848</v>
      </c>
      <c r="E94" s="19">
        <v>220</v>
      </c>
      <c r="F94" s="18">
        <v>9.5</v>
      </c>
      <c r="G94" s="18">
        <v>70</v>
      </c>
      <c r="H94" s="4">
        <f>DEGREES(ATAN(((G94-F94)/2)/E94))</f>
        <v>7.8290765100596076</v>
      </c>
    </row>
    <row r="95" spans="1:14" ht="16" thickBot="1">
      <c r="A95" s="149"/>
      <c r="B95" s="158" t="s">
        <v>173</v>
      </c>
      <c r="C95" s="153">
        <f>0.73*C94</f>
        <v>9379.0399999999991</v>
      </c>
    </row>
    <row r="96" spans="1:14" ht="24" thickBot="1">
      <c r="B96" s="301" t="s">
        <v>155</v>
      </c>
      <c r="C96" s="302"/>
      <c r="I96" s="314" t="s">
        <v>227</v>
      </c>
      <c r="J96" s="315"/>
      <c r="L96" s="293" t="s">
        <v>301</v>
      </c>
      <c r="M96" s="294"/>
      <c r="N96" s="295"/>
    </row>
    <row r="97" spans="1:14">
      <c r="A97" s="5" t="s">
        <v>306</v>
      </c>
      <c r="B97" s="5" t="s">
        <v>153</v>
      </c>
      <c r="C97" s="5" t="s">
        <v>154</v>
      </c>
      <c r="D97" s="119" t="s">
        <v>156</v>
      </c>
      <c r="E97" s="120" t="s">
        <v>157</v>
      </c>
      <c r="F97" s="119" t="s">
        <v>158</v>
      </c>
      <c r="G97" s="120" t="s">
        <v>159</v>
      </c>
      <c r="I97" s="204" t="s">
        <v>235</v>
      </c>
      <c r="J97" s="205" t="s">
        <v>234</v>
      </c>
      <c r="L97" s="359" t="s">
        <v>287</v>
      </c>
      <c r="M97" s="360" t="s">
        <v>291</v>
      </c>
      <c r="N97" s="360" t="s">
        <v>288</v>
      </c>
    </row>
    <row r="98" spans="1:14">
      <c r="A98" s="100">
        <v>70</v>
      </c>
      <c r="B98" s="100">
        <v>25</v>
      </c>
      <c r="C98" s="100">
        <v>8</v>
      </c>
      <c r="D98" s="4">
        <f>((A98/2)/SIN(RADIANS(C98)))-D99</f>
        <v>89.816206679096496</v>
      </c>
      <c r="E98" s="4">
        <f>D98+D99</f>
        <v>251.48537870147018</v>
      </c>
      <c r="F98" s="4">
        <f>2*D99*SIN(RADIANS((360*(A98*3.14)/(6.28*D99))/2))</f>
        <v>203.3450941520025</v>
      </c>
      <c r="G98" s="4">
        <f>360*(A98*3.14)/(6.28*D99)</f>
        <v>77.93693653763664</v>
      </c>
      <c r="I98" s="201" t="s">
        <v>228</v>
      </c>
      <c r="J98" s="202">
        <f>(K98/K101)-1</f>
        <v>0.29032258064516125</v>
      </c>
      <c r="K98" s="200">
        <f>(J101+3)*18+78</f>
        <v>240</v>
      </c>
      <c r="L98" s="275" t="s">
        <v>200</v>
      </c>
      <c r="M98" s="277" t="s">
        <v>289</v>
      </c>
      <c r="N98" s="277" t="s">
        <v>289</v>
      </c>
    </row>
    <row r="99" spans="1:14">
      <c r="A99" s="303" t="s">
        <v>160</v>
      </c>
      <c r="B99" s="303"/>
      <c r="C99" s="303"/>
      <c r="D99" s="118">
        <f>((A98-B98)/2)/SIN(RADIANS(C98))</f>
        <v>161.66917202237369</v>
      </c>
      <c r="I99" s="201" t="s">
        <v>229</v>
      </c>
      <c r="J99" s="202">
        <f>(K99/K101)-1</f>
        <v>0.19354838709677424</v>
      </c>
      <c r="K99" s="200">
        <f>(J101+2)*18+78</f>
        <v>222</v>
      </c>
      <c r="L99" s="18">
        <v>14</v>
      </c>
      <c r="M99" s="17">
        <f>(L99-1)*0.6</f>
        <v>7.8</v>
      </c>
      <c r="N99" s="17">
        <f>(L99-1)*0.558</f>
        <v>7.2540000000000004</v>
      </c>
    </row>
    <row r="100" spans="1:14" ht="16" thickBot="1">
      <c r="I100" s="201" t="s">
        <v>230</v>
      </c>
      <c r="J100" s="202">
        <f>(K100/K101)-1</f>
        <v>9.6774193548387011E-2</v>
      </c>
      <c r="K100" s="200">
        <f>(J101+1)*18+78</f>
        <v>204</v>
      </c>
      <c r="M100" s="276" t="s">
        <v>290</v>
      </c>
      <c r="N100" s="276" t="s">
        <v>292</v>
      </c>
    </row>
    <row r="101" spans="1:14" ht="20">
      <c r="F101" s="348" t="s">
        <v>202</v>
      </c>
      <c r="G101" s="349"/>
      <c r="H101" s="181"/>
      <c r="I101" s="203" t="s">
        <v>274</v>
      </c>
      <c r="J101" s="18">
        <v>6</v>
      </c>
      <c r="K101" s="200">
        <f>J101*18+78</f>
        <v>186</v>
      </c>
      <c r="M101" s="277" t="s">
        <v>289</v>
      </c>
      <c r="N101" s="277" t="s">
        <v>289</v>
      </c>
    </row>
    <row r="102" spans="1:14">
      <c r="F102" s="199" t="s">
        <v>209</v>
      </c>
      <c r="G102" s="186">
        <v>8000</v>
      </c>
      <c r="I102" s="201" t="s">
        <v>231</v>
      </c>
      <c r="J102" s="202">
        <f>IF(J101&gt;0,(K102/K101)-1," ")</f>
        <v>-9.6774193548387122E-2</v>
      </c>
      <c r="K102" s="200">
        <f>(J101-1)*18+78</f>
        <v>168</v>
      </c>
      <c r="M102" s="17">
        <f>(L99-1)*0.514</f>
        <v>6.6820000000000004</v>
      </c>
      <c r="N102" s="17">
        <f>(L99-1)*0.468</f>
        <v>6.0840000000000005</v>
      </c>
    </row>
    <row r="103" spans="1:14">
      <c r="F103" s="180" t="s">
        <v>138</v>
      </c>
      <c r="G103" s="186">
        <v>180</v>
      </c>
      <c r="I103" s="201" t="s">
        <v>232</v>
      </c>
      <c r="J103" s="202">
        <f>IF(J101&gt;1,(K103/K101)-1," ")</f>
        <v>-0.19354838709677424</v>
      </c>
      <c r="K103" s="200">
        <f>(J101-2)*18+78</f>
        <v>150</v>
      </c>
    </row>
    <row r="104" spans="1:14">
      <c r="F104" s="217" t="s">
        <v>203</v>
      </c>
      <c r="G104" s="186">
        <v>115</v>
      </c>
      <c r="I104" s="201" t="s">
        <v>233</v>
      </c>
      <c r="J104" s="202">
        <f>IF(J101&gt;2,(K104/K101)-1," ")</f>
        <v>-0.29032258064516125</v>
      </c>
      <c r="K104" s="200">
        <f>(J101-3)*18+78</f>
        <v>132</v>
      </c>
    </row>
    <row r="105" spans="1:14">
      <c r="F105" s="183" t="s">
        <v>215</v>
      </c>
      <c r="G105" s="361">
        <f>1000*((G103-G104)/(2*360))*(60/G102)</f>
        <v>0.67708333333333326</v>
      </c>
    </row>
    <row r="106" spans="1:14">
      <c r="F106" s="188" t="s">
        <v>214</v>
      </c>
      <c r="G106" s="182">
        <f>(G103-G104)/2</f>
        <v>32.5</v>
      </c>
    </row>
    <row r="108" spans="1:14">
      <c r="F108" s="180" t="s">
        <v>210</v>
      </c>
      <c r="G108" s="186">
        <v>9000</v>
      </c>
    </row>
    <row r="109" spans="1:14">
      <c r="F109" s="183" t="s">
        <v>206</v>
      </c>
      <c r="G109" s="363">
        <f>0.36*G105/(60/G108)</f>
        <v>36.562499999999993</v>
      </c>
    </row>
    <row r="110" spans="1:14">
      <c r="F110" s="184" t="s">
        <v>204</v>
      </c>
    </row>
    <row r="111" spans="1:14">
      <c r="F111" s="185" t="s">
        <v>205</v>
      </c>
      <c r="G111" s="362">
        <f>G109-((G103-G104)/2)</f>
        <v>4.0624999999999929</v>
      </c>
    </row>
    <row r="112" spans="1:14">
      <c r="F112" s="187" t="s">
        <v>211</v>
      </c>
      <c r="G112" s="363">
        <f>G103+G111</f>
        <v>184.0625</v>
      </c>
    </row>
    <row r="118" spans="1:4" ht="16" thickBot="1"/>
    <row r="119" spans="1:4" ht="18">
      <c r="C119" s="317" t="s">
        <v>248</v>
      </c>
      <c r="D119" s="318"/>
    </row>
    <row r="120" spans="1:4">
      <c r="C120" s="215" t="s">
        <v>244</v>
      </c>
      <c r="D120" s="100">
        <v>12000</v>
      </c>
    </row>
    <row r="121" spans="1:4">
      <c r="C121" s="215" t="s">
        <v>180</v>
      </c>
      <c r="D121" s="100">
        <v>120</v>
      </c>
    </row>
    <row r="122" spans="1:4">
      <c r="C122" s="215" t="s">
        <v>245</v>
      </c>
      <c r="D122" s="216">
        <f>(1/(D120/60))*((180-(D121/2))/360)</f>
        <v>1.6666666666666666E-3</v>
      </c>
    </row>
    <row r="123" spans="1:4">
      <c r="C123" s="215" t="s">
        <v>246</v>
      </c>
      <c r="D123" s="17">
        <f>(D122*1125)/4</f>
        <v>0.46874999999999994</v>
      </c>
    </row>
    <row r="124" spans="1:4">
      <c r="C124" s="215" t="s">
        <v>247</v>
      </c>
      <c r="D124" s="4">
        <f>D123*15.25</f>
        <v>7.1484374999999991</v>
      </c>
    </row>
    <row r="128" spans="1:4" ht="20">
      <c r="A128" s="316" t="s">
        <v>201</v>
      </c>
      <c r="B128" s="316"/>
      <c r="C128" s="316"/>
    </row>
    <row r="130" spans="1:16" ht="18">
      <c r="A130" s="233"/>
      <c r="B130" s="233"/>
      <c r="C130" s="299" t="s">
        <v>267</v>
      </c>
      <c r="D130" s="299"/>
      <c r="E130" s="233"/>
      <c r="F130" s="233"/>
      <c r="G130" s="233"/>
      <c r="H130" s="233"/>
      <c r="I130" s="233"/>
      <c r="J130" s="233"/>
      <c r="K130" s="233"/>
      <c r="L130" s="233"/>
      <c r="M130" s="233"/>
      <c r="N130" s="233"/>
    </row>
    <row r="131" spans="1:16">
      <c r="A131" s="297" t="s">
        <v>264</v>
      </c>
      <c r="B131" s="298"/>
      <c r="C131" s="233"/>
      <c r="D131" s="233"/>
      <c r="E131" s="233"/>
      <c r="F131" s="233"/>
      <c r="G131" s="233"/>
      <c r="H131" s="233"/>
      <c r="I131" s="233"/>
      <c r="J131" s="233"/>
      <c r="K131" s="233"/>
      <c r="L131" s="233"/>
      <c r="M131" s="243" t="s">
        <v>275</v>
      </c>
      <c r="N131" s="233"/>
    </row>
    <row r="132" spans="1:16">
      <c r="A132" s="226" t="s">
        <v>249</v>
      </c>
      <c r="B132" s="226" t="s">
        <v>250</v>
      </c>
      <c r="C132" s="226" t="s">
        <v>251</v>
      </c>
      <c r="D132" s="226" t="s">
        <v>252</v>
      </c>
      <c r="E132" s="226" t="s">
        <v>253</v>
      </c>
      <c r="F132" s="226" t="s">
        <v>254</v>
      </c>
      <c r="G132" s="226" t="s">
        <v>255</v>
      </c>
      <c r="H132" s="226" t="s">
        <v>256</v>
      </c>
      <c r="I132" s="226" t="s">
        <v>257</v>
      </c>
      <c r="J132" s="226" t="s">
        <v>258</v>
      </c>
      <c r="K132" s="226" t="s">
        <v>259</v>
      </c>
      <c r="L132" s="226" t="s">
        <v>260</v>
      </c>
      <c r="M132" s="226" t="s">
        <v>261</v>
      </c>
      <c r="N132" s="233"/>
    </row>
    <row r="133" spans="1:16">
      <c r="A133" s="227">
        <v>2.5099999999999998</v>
      </c>
      <c r="B133" s="227">
        <v>2.41</v>
      </c>
      <c r="C133" s="227">
        <v>2.57</v>
      </c>
      <c r="D133" s="227">
        <v>2.57</v>
      </c>
      <c r="E133" s="227">
        <v>2.5299999999999998</v>
      </c>
      <c r="F133" s="227">
        <v>2.4900000000000002</v>
      </c>
      <c r="G133" s="227">
        <v>2.4500000000000002</v>
      </c>
      <c r="H133" s="227">
        <v>2.41</v>
      </c>
      <c r="I133" s="227">
        <v>2.37</v>
      </c>
      <c r="J133" s="227">
        <v>2.2799999999999998</v>
      </c>
      <c r="K133" s="227">
        <v>2.19</v>
      </c>
      <c r="L133" s="227">
        <v>2.0699999999999998</v>
      </c>
      <c r="M133" s="227">
        <v>1.95</v>
      </c>
      <c r="N133" s="234"/>
      <c r="O133" s="175"/>
      <c r="P133" s="175"/>
    </row>
    <row r="134" spans="1:16">
      <c r="A134" s="221" t="s">
        <v>262</v>
      </c>
      <c r="B134" s="245">
        <f>DEGREES(ATAN((A133-B133)/3))</f>
        <v>1.9091524329963694</v>
      </c>
      <c r="C134" s="245">
        <f t="shared" ref="C134:D134" si="0">DEGREES(ATAN((B133-C133)/3))</f>
        <v>-3.0528825147924223</v>
      </c>
      <c r="D134" s="245">
        <f t="shared" si="0"/>
        <v>0</v>
      </c>
      <c r="E134" s="245">
        <f t="shared" ref="E134" si="1">DEGREES(ATAN((D133-E133)/3))</f>
        <v>0.76389846092999569</v>
      </c>
      <c r="F134" s="245">
        <f t="shared" ref="F134" si="2">DEGREES(ATAN((E133-F133)/3))</f>
        <v>0.76389846092998726</v>
      </c>
      <c r="G134" s="245">
        <f t="shared" ref="G134" si="3">DEGREES(ATAN((F133-G133)/3))</f>
        <v>0.76389846092999569</v>
      </c>
      <c r="H134" s="245">
        <f t="shared" ref="H134" si="4">DEGREES(ATAN((G133-H133)/3))</f>
        <v>0.76389846092999569</v>
      </c>
      <c r="I134" s="245">
        <f t="shared" ref="I134" si="5">DEGREES(ATAN((H133-I133)/3))</f>
        <v>0.76389846092999569</v>
      </c>
      <c r="J134" s="245">
        <f t="shared" ref="J134" si="6">DEGREES(ATAN((I133-J133)/3))</f>
        <v>1.7183580016554629</v>
      </c>
      <c r="K134" s="245">
        <f t="shared" ref="K134" si="7">DEGREES(ATAN((J133-K133)/3))</f>
        <v>1.7183580016554547</v>
      </c>
      <c r="L134" s="245">
        <f t="shared" ref="L134" si="8">DEGREES(ATAN((K133-L133)/3))</f>
        <v>2.2906100426385319</v>
      </c>
      <c r="M134" s="245">
        <f t="shared" ref="M134" si="9">DEGREES(ATAN((L133-M133)/3))</f>
        <v>2.2906100426385274</v>
      </c>
      <c r="N134" s="235">
        <f>M134</f>
        <v>2.2906100426385274</v>
      </c>
      <c r="O134" s="175"/>
      <c r="P134" s="175"/>
    </row>
    <row r="135" spans="1:16">
      <c r="A135" s="220"/>
      <c r="B135" s="222">
        <f>(6*TAN(RADIANS((D134)/2))+C133-B133)/(-2*TAN(RADIANS((B134)/2))+2*TAN(RADIANS((D134)/2)))</f>
        <v>-4.8013329631685897</v>
      </c>
      <c r="C135" s="222">
        <f>(6*TAN(RADIANS((E134)/2))+D133-C133)/(-2*TAN(RADIANS((C134)/2))+2*TAN(RADIANS((E134)/2)))</f>
        <v>0.60031970176366278</v>
      </c>
      <c r="D135" s="222">
        <f t="shared" ref="D135:K135" si="10">(6*TAN(RADIANS((F134)/2))+E133-D133)/(-2*TAN(RADIANS((D134)/2))+2*TAN(RADIANS((F134)/2)))</f>
        <v>-1.3332740795621347E-4</v>
      </c>
      <c r="E135" s="222" t="e">
        <f t="shared" si="10"/>
        <v>#DIV/0!</v>
      </c>
      <c r="F135" s="222">
        <f t="shared" si="10"/>
        <v>-12055623884.799999</v>
      </c>
      <c r="G135" s="223" t="e">
        <f>(6*TAN(RADIANS((I134)/2))+H133-G133)/(-2*TAN(RADIANS((G134)/2))+2*TAN(RADIANS((I134)/2)))</f>
        <v>#DIV/0!</v>
      </c>
      <c r="H135" s="224">
        <f t="shared" si="10"/>
        <v>2.9998933034144062</v>
      </c>
      <c r="I135" s="222">
        <f t="shared" si="10"/>
        <v>-1.214902178780461E-3</v>
      </c>
      <c r="J135" s="222">
        <f>(6*TAN(RADIANS((L134)/2))+K133-J133)/(-2*TAN(RADIANS((J134)/2))+2*TAN(RADIANS((L134)/2)))</f>
        <v>2.9979740386992044</v>
      </c>
      <c r="K135" s="222">
        <f t="shared" si="10"/>
        <v>-4.8005997091933898E-3</v>
      </c>
      <c r="L135" s="222">
        <f>(6*TAN(RADIANS((N134)/2))+M133-L133)/(-2*TAN(RADIANS((L134)/2))+2*TAN(RADIANS((N134)/2)))</f>
        <v>628363684747.63635</v>
      </c>
      <c r="M135" s="220"/>
      <c r="N135" s="233"/>
    </row>
    <row r="136" spans="1:16">
      <c r="A136" s="221" t="s">
        <v>263</v>
      </c>
      <c r="B136" s="225" t="str">
        <f t="shared" ref="B136:L136" si="11">IF(OR(B135&lt;=0,B135&gt;=3),"",B135)</f>
        <v/>
      </c>
      <c r="C136" s="225">
        <f t="shared" si="11"/>
        <v>0.60031970176366278</v>
      </c>
      <c r="D136" s="225" t="str">
        <f t="shared" si="11"/>
        <v/>
      </c>
      <c r="E136" s="225" t="e">
        <f t="shared" si="11"/>
        <v>#DIV/0!</v>
      </c>
      <c r="F136" s="225" t="str">
        <f t="shared" si="11"/>
        <v/>
      </c>
      <c r="G136" s="225" t="e">
        <f t="shared" si="11"/>
        <v>#DIV/0!</v>
      </c>
      <c r="H136" s="230">
        <f t="shared" si="11"/>
        <v>2.9998933034144062</v>
      </c>
      <c r="I136" s="230" t="str">
        <f t="shared" si="11"/>
        <v/>
      </c>
      <c r="J136" s="225">
        <f>IF(OR(J135&lt;=0,J135&gt;=3),"",J135)</f>
        <v>2.9979740386992044</v>
      </c>
      <c r="K136" s="225" t="str">
        <f t="shared" si="11"/>
        <v/>
      </c>
      <c r="L136" s="230" t="str">
        <f t="shared" si="11"/>
        <v/>
      </c>
      <c r="M136" s="221"/>
      <c r="N136" s="233"/>
    </row>
    <row r="137" spans="1:16" ht="16" thickBot="1">
      <c r="A137" s="232"/>
      <c r="B137" s="232"/>
      <c r="C137" s="232"/>
      <c r="D137" s="232"/>
      <c r="E137" s="232"/>
      <c r="F137" s="232"/>
      <c r="G137" s="232"/>
      <c r="H137" s="232"/>
      <c r="I137" s="232"/>
      <c r="J137" s="232"/>
      <c r="K137" s="232"/>
      <c r="L137" s="232"/>
      <c r="M137" s="232"/>
      <c r="N137" s="232"/>
    </row>
    <row r="138" spans="1:16" ht="19" thickBot="1">
      <c r="A138" s="296" t="s">
        <v>265</v>
      </c>
      <c r="B138" s="296"/>
      <c r="C138" s="233"/>
      <c r="D138" s="233"/>
      <c r="E138" s="233"/>
      <c r="F138" s="233"/>
      <c r="G138" s="233"/>
      <c r="H138" s="243" t="s">
        <v>275</v>
      </c>
      <c r="I138" s="233"/>
      <c r="J138" s="293" t="s">
        <v>297</v>
      </c>
      <c r="K138" s="294"/>
      <c r="L138" s="295"/>
      <c r="M138" s="233"/>
      <c r="N138" s="233"/>
    </row>
    <row r="139" spans="1:16">
      <c r="A139" s="226" t="s">
        <v>249</v>
      </c>
      <c r="B139" s="226" t="s">
        <v>250</v>
      </c>
      <c r="C139" s="226" t="s">
        <v>251</v>
      </c>
      <c r="D139" s="226" t="s">
        <v>252</v>
      </c>
      <c r="E139" s="226" t="s">
        <v>253</v>
      </c>
      <c r="F139" s="226" t="s">
        <v>254</v>
      </c>
      <c r="G139" s="226" t="s">
        <v>255</v>
      </c>
      <c r="H139" s="226" t="s">
        <v>256</v>
      </c>
      <c r="I139" s="236"/>
      <c r="J139" s="292" t="s">
        <v>293</v>
      </c>
      <c r="K139" s="292" t="s">
        <v>299</v>
      </c>
      <c r="L139" s="292" t="s">
        <v>294</v>
      </c>
      <c r="M139" s="278"/>
      <c r="N139" s="127"/>
    </row>
    <row r="140" spans="1:16">
      <c r="A140" s="227">
        <v>2.5150000000000001</v>
      </c>
      <c r="B140" s="227">
        <v>2.5150000000000001</v>
      </c>
      <c r="C140" s="227">
        <v>2.4</v>
      </c>
      <c r="D140" s="227">
        <v>2.1</v>
      </c>
      <c r="E140" s="227">
        <v>1.8</v>
      </c>
      <c r="F140" s="227">
        <v>1.5</v>
      </c>
      <c r="G140" s="227">
        <v>1.2</v>
      </c>
      <c r="H140" s="227">
        <v>0.9</v>
      </c>
      <c r="I140" s="237"/>
      <c r="J140" s="287">
        <v>20</v>
      </c>
      <c r="K140" s="287">
        <v>0.74</v>
      </c>
      <c r="L140" s="287">
        <v>0.51</v>
      </c>
      <c r="M140" s="279"/>
      <c r="N140" s="127"/>
    </row>
    <row r="141" spans="1:16">
      <c r="A141" s="221" t="s">
        <v>262</v>
      </c>
      <c r="B141" s="228">
        <f t="shared" ref="B141:H141" si="12">DEGREES(ATAN((A140-B140)/5))</f>
        <v>0</v>
      </c>
      <c r="C141" s="228">
        <f t="shared" si="12"/>
        <v>1.3175706299449843</v>
      </c>
      <c r="D141" s="228">
        <f t="shared" si="12"/>
        <v>3.4336303624505198</v>
      </c>
      <c r="E141" s="228">
        <f t="shared" si="12"/>
        <v>3.4336303624505229</v>
      </c>
      <c r="F141" s="228">
        <f t="shared" si="12"/>
        <v>3.4336303624505229</v>
      </c>
      <c r="G141" s="228">
        <f t="shared" si="12"/>
        <v>3.4336303624505229</v>
      </c>
      <c r="H141" s="228">
        <f t="shared" si="12"/>
        <v>3.4336303624505211</v>
      </c>
      <c r="I141" s="238">
        <f>H141</f>
        <v>3.4336303624505211</v>
      </c>
      <c r="J141" s="284">
        <f>3.14*(J140/2)^2</f>
        <v>314</v>
      </c>
      <c r="K141" s="285">
        <f>3.14*(K140/2)^2</f>
        <v>0.42986599999999997</v>
      </c>
      <c r="L141" s="285">
        <f>3.14*(L140/2)^2</f>
        <v>0.20417850000000001</v>
      </c>
      <c r="M141" s="280"/>
      <c r="N141" s="127"/>
    </row>
    <row r="142" spans="1:16">
      <c r="A142" s="220"/>
      <c r="B142" s="222">
        <f t="shared" ref="B142:G142" si="13">(10*TAN(RADIANS((D141)/2))+C140-B140)/(-2*TAN(RADIANS((B141)/2))+2*TAN(RADIANS((D141)/2)))</f>
        <v>3.0816098830451026</v>
      </c>
      <c r="C142" s="222">
        <f t="shared" si="13"/>
        <v>-7.294218644017701E-3</v>
      </c>
      <c r="D142" s="222">
        <f t="shared" si="13"/>
        <v>-5548745427565.7139</v>
      </c>
      <c r="E142" s="222" t="e">
        <f t="shared" si="13"/>
        <v>#DIV/0!</v>
      </c>
      <c r="F142" s="222">
        <f t="shared" si="13"/>
        <v>9710304498248</v>
      </c>
      <c r="G142" s="223">
        <f t="shared" si="13"/>
        <v>9710304498248</v>
      </c>
      <c r="H142" s="231"/>
      <c r="I142" s="239"/>
      <c r="J142" s="290" t="s">
        <v>295</v>
      </c>
      <c r="K142" s="291" t="s">
        <v>300</v>
      </c>
      <c r="L142" s="291" t="s">
        <v>296</v>
      </c>
      <c r="M142" s="281"/>
      <c r="N142" s="127"/>
    </row>
    <row r="143" spans="1:16">
      <c r="A143" s="221" t="s">
        <v>263</v>
      </c>
      <c r="B143" s="225" t="str">
        <f t="shared" ref="B143" si="14">IF(OR(B142&lt;=0,B142&gt;=3),"",B142)</f>
        <v/>
      </c>
      <c r="C143" s="225" t="str">
        <f t="shared" ref="C143" si="15">IF(OR(C142&lt;=0,C142&gt;=3),"",C142)</f>
        <v/>
      </c>
      <c r="D143" s="225" t="str">
        <f t="shared" ref="D143" si="16">IF(OR(D142&lt;=0,D142&gt;=3),"",D142)</f>
        <v/>
      </c>
      <c r="E143" s="225" t="e">
        <f t="shared" ref="E143" si="17">IF(OR(E142&lt;=0,E142&gt;=3),"",E142)</f>
        <v>#DIV/0!</v>
      </c>
      <c r="F143" s="225" t="str">
        <f t="shared" ref="F143" si="18">IF(OR(F142&lt;=0,F142&gt;=3),"",F142)</f>
        <v/>
      </c>
      <c r="G143" s="221" t="str">
        <f t="shared" ref="G143" si="19">IF(OR(G142&lt;=0,G142&gt;=3),"",G142)</f>
        <v/>
      </c>
      <c r="H143" s="229"/>
      <c r="I143" s="236"/>
      <c r="J143" s="289">
        <v>24</v>
      </c>
      <c r="K143" s="288">
        <f>2*SQRT(K144/3.14)</f>
        <v>0.88800000000000001</v>
      </c>
      <c r="L143" s="288">
        <f>2*SQRT(L144/3.14)</f>
        <v>0.61199999999999999</v>
      </c>
      <c r="M143" s="278"/>
      <c r="N143" s="127"/>
    </row>
    <row r="144" spans="1:16">
      <c r="A144" s="233"/>
      <c r="B144" s="233"/>
      <c r="C144" s="233"/>
      <c r="D144" s="233"/>
      <c r="E144" s="233"/>
      <c r="F144" s="233"/>
      <c r="G144" s="233"/>
      <c r="H144" s="233"/>
      <c r="I144" s="233"/>
      <c r="J144" s="284">
        <f>3.14*(J143/2)^2</f>
        <v>452.16</v>
      </c>
      <c r="K144" s="286">
        <f>(K141/J141)*J144</f>
        <v>0.61900704000000006</v>
      </c>
      <c r="L144" s="286">
        <f>(L141/J141)*J144</f>
        <v>0.29401704000000001</v>
      </c>
      <c r="M144" s="127"/>
      <c r="N144" s="127"/>
    </row>
    <row r="145" spans="1:14" ht="16" thickBot="1">
      <c r="A145" s="297" t="s">
        <v>266</v>
      </c>
      <c r="B145" s="298"/>
      <c r="C145" s="233"/>
      <c r="D145" s="233"/>
      <c r="E145" s="243" t="s">
        <v>275</v>
      </c>
      <c r="F145" s="233"/>
      <c r="G145" s="233"/>
      <c r="H145" s="233"/>
      <c r="I145" s="233"/>
      <c r="J145" s="127"/>
      <c r="K145" s="127"/>
      <c r="L145" s="127"/>
      <c r="M145" s="127"/>
      <c r="N145" s="127"/>
    </row>
    <row r="146" spans="1:14" ht="18">
      <c r="A146" s="226" t="s">
        <v>249</v>
      </c>
      <c r="B146" s="226" t="s">
        <v>250</v>
      </c>
      <c r="C146" s="226" t="s">
        <v>251</v>
      </c>
      <c r="D146" s="226" t="s">
        <v>252</v>
      </c>
      <c r="E146" s="226" t="s">
        <v>253</v>
      </c>
      <c r="F146" s="236"/>
      <c r="G146" s="278"/>
      <c r="H146" s="278"/>
      <c r="I146" s="164" t="s">
        <v>187</v>
      </c>
      <c r="J146" s="164" t="s">
        <v>193</v>
      </c>
      <c r="K146" s="167" t="s">
        <v>194</v>
      </c>
      <c r="L146" s="167" t="s">
        <v>197</v>
      </c>
      <c r="M146" s="167" t="s">
        <v>196</v>
      </c>
      <c r="N146" s="127"/>
    </row>
    <row r="147" spans="1:14" ht="19" thickBot="1">
      <c r="A147" s="227">
        <v>2.5150000000000001</v>
      </c>
      <c r="B147" s="227">
        <v>2.4</v>
      </c>
      <c r="C147" s="227">
        <v>1.9</v>
      </c>
      <c r="D147" s="227">
        <v>1.4</v>
      </c>
      <c r="E147" s="227">
        <v>0.9</v>
      </c>
      <c r="F147" s="237"/>
      <c r="G147" s="279"/>
      <c r="H147" s="279"/>
      <c r="I147" s="165" t="s">
        <v>188</v>
      </c>
      <c r="J147" s="165" t="s">
        <v>192</v>
      </c>
      <c r="K147" s="168" t="s">
        <v>192</v>
      </c>
      <c r="L147" s="168" t="s">
        <v>192</v>
      </c>
      <c r="M147" s="168" t="s">
        <v>192</v>
      </c>
      <c r="N147" s="127"/>
    </row>
    <row r="148" spans="1:14" ht="16">
      <c r="A148" s="221" t="s">
        <v>262</v>
      </c>
      <c r="B148" s="228">
        <f>DEGREES(ATAN((A147-B147)/10))</f>
        <v>0.65887242013218672</v>
      </c>
      <c r="C148" s="228">
        <f>DEGREES(ATAN((B147-C147)/10))</f>
        <v>2.8624052261117479</v>
      </c>
      <c r="D148" s="228">
        <f>DEGREES(ATAN((C147-D147)/10))</f>
        <v>2.8624052261117479</v>
      </c>
      <c r="E148" s="228">
        <f>DEGREES(ATAN((D147-E147)/10))</f>
        <v>2.862405226111747</v>
      </c>
      <c r="F148" s="238">
        <f>E148</f>
        <v>2.862405226111747</v>
      </c>
      <c r="G148" s="280"/>
      <c r="H148" s="280"/>
      <c r="I148" s="162" t="s">
        <v>191</v>
      </c>
      <c r="J148" s="169" t="s">
        <v>190</v>
      </c>
      <c r="K148" s="162" t="s">
        <v>195</v>
      </c>
      <c r="L148" s="162" t="s">
        <v>198</v>
      </c>
      <c r="M148" s="162" t="s">
        <v>199</v>
      </c>
      <c r="N148" s="127"/>
    </row>
    <row r="149" spans="1:14" ht="16">
      <c r="A149" s="220"/>
      <c r="B149" s="222">
        <f>(20*TAN(RADIANS((D148)/2))+C147-B147)/(-2*TAN(RADIANS((B148)/2))+2*TAN(RADIANS((D148)/2)))</f>
        <v>-8.1132499301393296E-3</v>
      </c>
      <c r="C149" s="223">
        <f>(20*TAN(RADIANS((E148)/2))+D147-C147)/(-2*TAN(RADIANS((C148)/2))+2*TAN(RADIANS((E148)/2)))</f>
        <v>22489894542832</v>
      </c>
      <c r="D149" s="223">
        <f>(20*TAN(RADIANS((F148)/2))+E147-D147)/(-2*TAN(RADIANS((D148)/2))+2*TAN(RADIANS((F148)/2)))</f>
        <v>22489894542816</v>
      </c>
      <c r="E149" s="222"/>
      <c r="F149" s="239"/>
      <c r="G149" s="282"/>
      <c r="H149" s="283"/>
      <c r="I149" s="163">
        <v>73</v>
      </c>
      <c r="J149" s="170">
        <v>7.5</v>
      </c>
      <c r="K149" s="163">
        <v>160</v>
      </c>
      <c r="L149" s="163">
        <v>70</v>
      </c>
      <c r="M149" s="163">
        <v>150</v>
      </c>
      <c r="N149" s="127"/>
    </row>
    <row r="150" spans="1:14" ht="16">
      <c r="A150" s="221" t="s">
        <v>263</v>
      </c>
      <c r="B150" s="225" t="str">
        <f t="shared" ref="B150" si="20">IF(OR(B149&lt;=0,B149&gt;=3),"",B149)</f>
        <v/>
      </c>
      <c r="C150" s="225" t="str">
        <f t="shared" ref="C150" si="21">IF(OR(C149&lt;=0,C149&gt;=3),"",C149)</f>
        <v/>
      </c>
      <c r="D150" s="225" t="str">
        <f t="shared" ref="D150" si="22">IF(OR(D149&lt;=0,D149&gt;=3),"",D149)</f>
        <v/>
      </c>
      <c r="E150" s="225"/>
      <c r="F150" s="240"/>
      <c r="G150" s="229"/>
      <c r="H150" s="229"/>
      <c r="I150" s="162" t="s">
        <v>184</v>
      </c>
      <c r="J150" s="171" t="s">
        <v>21</v>
      </c>
      <c r="K150" s="172" t="s">
        <v>21</v>
      </c>
      <c r="L150" s="172" t="s">
        <v>21</v>
      </c>
      <c r="M150" s="172" t="s">
        <v>21</v>
      </c>
      <c r="N150" s="127"/>
    </row>
    <row r="151" spans="1:14" ht="16">
      <c r="A151" s="233"/>
      <c r="B151" s="233"/>
      <c r="C151" s="233"/>
      <c r="D151" s="233"/>
      <c r="E151" s="233"/>
      <c r="F151" s="233"/>
      <c r="G151" s="127"/>
      <c r="H151" s="127"/>
      <c r="I151" s="163">
        <v>0</v>
      </c>
      <c r="J151" s="173">
        <f>2*SQRT(((J149/80)*0.5)/3.14)</f>
        <v>0.24436320466915298</v>
      </c>
      <c r="K151" s="174">
        <f>IF(K149&gt;90,(90+((K149-90)*0.81))/100,IF(K149=90,0.9,IF(K149&lt;90,(90-((90-K149)*0.81))/100,0)))</f>
        <v>1.4669999999999999</v>
      </c>
      <c r="L151" s="174">
        <f>L149*0.01</f>
        <v>0.70000000000000007</v>
      </c>
      <c r="M151" s="174">
        <f>M149*0.01</f>
        <v>1.5</v>
      </c>
      <c r="N151" s="127"/>
    </row>
    <row r="152" spans="1:14" ht="16">
      <c r="A152" s="233"/>
      <c r="B152" s="233"/>
      <c r="C152" s="233"/>
      <c r="D152" s="233"/>
      <c r="E152" s="233"/>
      <c r="F152" s="233"/>
      <c r="G152" s="127"/>
      <c r="H152" s="127"/>
      <c r="I152" s="172" t="s">
        <v>185</v>
      </c>
      <c r="J152" s="171" t="s">
        <v>189</v>
      </c>
      <c r="K152" s="172" t="s">
        <v>189</v>
      </c>
      <c r="L152" s="172" t="s">
        <v>189</v>
      </c>
      <c r="M152" s="172" t="s">
        <v>189</v>
      </c>
      <c r="N152" s="127"/>
    </row>
    <row r="153" spans="1:14" ht="16">
      <c r="I153" s="174">
        <f>IF(AND(I149&gt;0,I151&gt;0),0,IF(I149&gt;0,2*SQRT((I155)/3.14),I151*0.0096))</f>
        <v>0.76237142593541796</v>
      </c>
      <c r="J153" s="173">
        <f>(((2*SQRT(((J149/80)*0.5)/3.14))/2)^2)*3.14</f>
        <v>4.6875000000000007E-2</v>
      </c>
      <c r="K153" s="174">
        <f>3.14*(K151/2)^2</f>
        <v>1.6893898649999999</v>
      </c>
      <c r="L153" s="173">
        <f>((L151/2)^2)*3.14</f>
        <v>0.3846500000000001</v>
      </c>
      <c r="M153" s="173">
        <f>((M151/2)^2)*3.14</f>
        <v>1.7662500000000001</v>
      </c>
    </row>
    <row r="154" spans="1:14" ht="16">
      <c r="I154" s="172" t="s">
        <v>186</v>
      </c>
      <c r="J154" s="175"/>
      <c r="K154" s="176"/>
      <c r="L154" s="176"/>
      <c r="M154" s="175"/>
    </row>
    <row r="155" spans="1:14" ht="16">
      <c r="I155" s="174">
        <f>IF(AND(I149&gt;0,I151&gt;0),0,IF(I149&gt;0,(I149/80)*0.5,((I153/2)^2)*3.14))</f>
        <v>0.45624999999999999</v>
      </c>
      <c r="J155" s="175"/>
      <c r="K155" s="176"/>
      <c r="L155" s="176"/>
      <c r="M155" s="175"/>
    </row>
  </sheetData>
  <sheetProtection password="E53C" sheet="1" objects="1" scenarios="1"/>
  <mergeCells count="52">
    <mergeCell ref="F101:G101"/>
    <mergeCell ref="B1:E2"/>
    <mergeCell ref="B4:C4"/>
    <mergeCell ref="F4:H4"/>
    <mergeCell ref="B9:C9"/>
    <mergeCell ref="F9:G9"/>
    <mergeCell ref="H2:J2"/>
    <mergeCell ref="H1:I1"/>
    <mergeCell ref="I9:K9"/>
    <mergeCell ref="J27:O27"/>
    <mergeCell ref="J28:O28"/>
    <mergeCell ref="G35:I35"/>
    <mergeCell ref="L96:N96"/>
    <mergeCell ref="E63:F63"/>
    <mergeCell ref="E66:F66"/>
    <mergeCell ref="B65:C65"/>
    <mergeCell ref="M2:O2"/>
    <mergeCell ref="E55:F55"/>
    <mergeCell ref="E56:F56"/>
    <mergeCell ref="E59:F59"/>
    <mergeCell ref="C119:D119"/>
    <mergeCell ref="B16:C16"/>
    <mergeCell ref="I60:J60"/>
    <mergeCell ref="B60:C60"/>
    <mergeCell ref="B25:C25"/>
    <mergeCell ref="F16:G16"/>
    <mergeCell ref="B54:C54"/>
    <mergeCell ref="B55:C55"/>
    <mergeCell ref="A41:B41"/>
    <mergeCell ref="A48:B48"/>
    <mergeCell ref="C39:F40"/>
    <mergeCell ref="D28:F28"/>
    <mergeCell ref="H54:I54"/>
    <mergeCell ref="E54:G54"/>
    <mergeCell ref="E61:G61"/>
    <mergeCell ref="E62:F62"/>
    <mergeCell ref="J138:L138"/>
    <mergeCell ref="A138:B138"/>
    <mergeCell ref="A145:B145"/>
    <mergeCell ref="C130:D130"/>
    <mergeCell ref="K64:P64"/>
    <mergeCell ref="B96:C96"/>
    <mergeCell ref="A99:C99"/>
    <mergeCell ref="F85:G85"/>
    <mergeCell ref="B87:C87"/>
    <mergeCell ref="B76:C76"/>
    <mergeCell ref="E68:G68"/>
    <mergeCell ref="B70:C70"/>
    <mergeCell ref="E92:F92"/>
    <mergeCell ref="I96:J96"/>
    <mergeCell ref="A131:B131"/>
    <mergeCell ref="A128:C128"/>
  </mergeCells>
  <hyperlinks>
    <hyperlink ref="F1" r:id="rId1"/>
    <hyperlink ref="G40" r:id="rId2"/>
    <hyperlink ref="G28" r:id="rId3"/>
    <hyperlink ref="H85" r:id="rId4"/>
    <hyperlink ref="I38" r:id="rId5" display="web page"/>
    <hyperlink ref="A128" r:id="rId6"/>
    <hyperlink ref="B128" r:id="rId7" display="http://www.dragonfly75.com/moto/calculators.html"/>
    <hyperlink ref="C128" r:id="rId8" display="http://www.dragonfly75.com/moto/calculators.html"/>
  </hyperlinks>
  <pageMargins left="0.75" right="0.75" top="1" bottom="1" header="0.5" footer="0.5"/>
  <pageSetup orientation="portrait" horizontalDpi="4294967292" verticalDpi="4294967292"/>
  <ignoredErrors>
    <ignoredError sqref="I135:J135 B135:B136 J136" evalError="1"/>
  </ignoredErrors>
  <drawing r:id="rId9"/>
  <legacyDrawing r:id="rId1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F</dc:creator>
  <cp:lastModifiedBy>Michael F</cp:lastModifiedBy>
  <dcterms:created xsi:type="dcterms:W3CDTF">2020-02-06T16:33:22Z</dcterms:created>
  <dcterms:modified xsi:type="dcterms:W3CDTF">2022-03-15T03:45:25Z</dcterms:modified>
</cp:coreProperties>
</file>